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updateLinks="never" codeName="ThisWorkbook" defaultThemeVersion="124226"/>
  <bookViews>
    <workbookView xWindow="480" yWindow="135" windowWidth="14355" windowHeight="6975" activeTab="1"/>
  </bookViews>
  <sheets>
    <sheet name="Help" sheetId="1" r:id="rId1"/>
    <sheet name="Pricing-Simple" sheetId="5" r:id="rId2"/>
    <sheet name="Pricing-Continuous" sheetId="8" r:id="rId3"/>
    <sheet name="Futures Specs" sheetId="4" state="veryHidden" r:id="rId4"/>
    <sheet name="Holidays" sheetId="6" state="veryHidden" r:id="rId5"/>
    <sheet name="Basket_hedge_work" sheetId="7" state="veryHidden" r:id="rId6"/>
  </sheets>
  <externalReferences>
    <externalReference r:id="rId7"/>
  </externalReferences>
  <calcPr calcId="145621"/>
</workbook>
</file>

<file path=xl/calcChain.xml><?xml version="1.0" encoding="utf-8"?>
<calcChain xmlns="http://schemas.openxmlformats.org/spreadsheetml/2006/main">
  <c r="G15" i="8" l="1"/>
  <c r="B21" i="8"/>
  <c r="B15" i="8"/>
  <c r="B10" i="8" l="1"/>
  <c r="I10" i="8" l="1"/>
  <c r="I9" i="8"/>
  <c r="B8" i="8"/>
  <c r="E4" i="8"/>
  <c r="H9" i="8" l="1"/>
  <c r="L9" i="8" s="1"/>
  <c r="J9" i="8" s="1"/>
  <c r="H8" i="8"/>
  <c r="I8" i="8"/>
  <c r="J8" i="8"/>
  <c r="G12" i="8" l="1"/>
  <c r="H12" i="8"/>
  <c r="I12" i="8" s="1"/>
  <c r="L8" i="8"/>
  <c r="K8" i="8"/>
  <c r="G14" i="8" l="1"/>
  <c r="B16" i="8" l="1"/>
  <c r="E16" i="8" s="1"/>
  <c r="B22" i="8"/>
  <c r="E22" i="8" s="1"/>
  <c r="A6" i="1"/>
  <c r="A7" i="1" s="1"/>
  <c r="A8" i="1" l="1"/>
  <c r="E9" i="7"/>
  <c r="E8" i="7"/>
  <c r="E7" i="7"/>
  <c r="C17" i="7"/>
  <c r="C3" i="7" l="1"/>
  <c r="B9" i="7" s="1"/>
  <c r="E4" i="5"/>
  <c r="C4" i="7" l="1"/>
  <c r="B7" i="7"/>
  <c r="A8" i="7"/>
  <c r="C8" i="7" s="1"/>
  <c r="A9" i="7"/>
  <c r="D9" i="7" s="1"/>
  <c r="B8" i="7"/>
  <c r="A7" i="7"/>
  <c r="I9" i="7" l="1"/>
  <c r="C9" i="7"/>
  <c r="I8" i="7"/>
  <c r="D8" i="7"/>
  <c r="D7" i="7"/>
  <c r="C7" i="7"/>
  <c r="I7" i="7"/>
  <c r="C1" i="7" l="1"/>
  <c r="C2" i="7"/>
  <c r="H9" i="7" l="1"/>
  <c r="L9" i="7" s="1"/>
  <c r="H8" i="7"/>
  <c r="L8" i="7" s="1"/>
  <c r="H7" i="7"/>
  <c r="L7" i="7" s="1"/>
  <c r="F8" i="7"/>
  <c r="F9" i="7"/>
  <c r="F7" i="7"/>
  <c r="G22" i="7"/>
  <c r="I10" i="5"/>
  <c r="B10" i="5"/>
  <c r="B8" i="5"/>
  <c r="B21" i="5" l="1"/>
  <c r="G15" i="5" s="1"/>
  <c r="B15" i="5"/>
  <c r="H8" i="5"/>
  <c r="H9" i="5"/>
  <c r="L9" i="5" s="1"/>
  <c r="J9" i="5" s="1"/>
  <c r="H12" i="5" s="1"/>
  <c r="I9" i="5"/>
  <c r="J8" i="5"/>
  <c r="I8" i="5"/>
  <c r="G9" i="7"/>
  <c r="K9" i="7"/>
  <c r="J9" i="7"/>
  <c r="G7" i="7"/>
  <c r="C15" i="7" s="1"/>
  <c r="J7" i="7"/>
  <c r="K7" i="7"/>
  <c r="G8" i="7"/>
  <c r="K8" i="7"/>
  <c r="J8" i="7"/>
  <c r="L8" i="5" l="1"/>
  <c r="K8" i="5"/>
  <c r="G12" i="5" s="1"/>
  <c r="C19" i="7"/>
  <c r="C21" i="7"/>
  <c r="G17" i="7"/>
  <c r="I12" i="5"/>
  <c r="G14" i="5" l="1"/>
  <c r="G15" i="7"/>
  <c r="C23" i="7" s="1"/>
  <c r="G18" i="7"/>
  <c r="G25" i="7" s="1"/>
  <c r="G20" i="7"/>
  <c r="G24" i="7" s="1"/>
  <c r="B22" i="5" l="1"/>
  <c r="E22" i="5" s="1"/>
  <c r="B16" i="5"/>
  <c r="E16" i="5" s="1"/>
  <c r="C29" i="7"/>
  <c r="C27" i="7"/>
  <c r="C25" i="7"/>
  <c r="C32" i="7" l="1"/>
  <c r="G30" i="7" s="1"/>
  <c r="C31" i="7"/>
  <c r="G28" i="7" s="1"/>
</calcChain>
</file>

<file path=xl/sharedStrings.xml><?xml version="1.0" encoding="utf-8"?>
<sst xmlns="http://schemas.openxmlformats.org/spreadsheetml/2006/main" count="180" uniqueCount="107">
  <si>
    <t>Last Updated</t>
  </si>
  <si>
    <t>INTEREST RATE FUTURES PRICING CALCULATOR (THEORETICAL)</t>
  </si>
  <si>
    <t xml:space="preserve">INPUT </t>
  </si>
  <si>
    <t>Select futures contract</t>
  </si>
  <si>
    <t>10-YEAR BenchMark Single Bond Futures</t>
  </si>
  <si>
    <t>Underlying Security</t>
  </si>
  <si>
    <t>Coupon of Security</t>
  </si>
  <si>
    <t>Maturity of Underlying</t>
  </si>
  <si>
    <t>Spot Price of Underlying</t>
  </si>
  <si>
    <t>Settlement Date</t>
  </si>
  <si>
    <t>(dd-mm-yyyy)</t>
  </si>
  <si>
    <t>Settlement Date(Fut)</t>
  </si>
  <si>
    <t>Cost of Carry</t>
  </si>
  <si>
    <t>OUTPUT</t>
  </si>
  <si>
    <t>Price of the Futures</t>
  </si>
  <si>
    <t>DESC</t>
  </si>
  <si>
    <t>91-DTB</t>
  </si>
  <si>
    <t>Remarks</t>
  </si>
  <si>
    <t>Contracts</t>
  </si>
  <si>
    <t>Available Expiry Dates</t>
  </si>
  <si>
    <t>DSP Futures</t>
  </si>
  <si>
    <t>Not used</t>
  </si>
  <si>
    <t>91-DTB FUTURES</t>
  </si>
  <si>
    <t>ModDuration</t>
  </si>
  <si>
    <t>Contract Size</t>
  </si>
  <si>
    <t>Maturity</t>
  </si>
  <si>
    <t>NA</t>
  </si>
  <si>
    <t>Used in Bond Portfolio Sheet</t>
  </si>
  <si>
    <t>Spot Price Underlying</t>
  </si>
  <si>
    <t>Not Used</t>
  </si>
  <si>
    <t>Conversion factor(Optional)</t>
  </si>
  <si>
    <t>ISIN</t>
  </si>
  <si>
    <t>Coupon</t>
  </si>
  <si>
    <t>IN0020130012</t>
  </si>
  <si>
    <t>Gsec-AI</t>
  </si>
  <si>
    <t>Day Count</t>
  </si>
  <si>
    <t>Special case</t>
  </si>
  <si>
    <t>LIP</t>
  </si>
  <si>
    <t>NIP</t>
  </si>
  <si>
    <t>Settlement2Del</t>
  </si>
  <si>
    <t>(Pbond+AI0)x(1+rt)</t>
  </si>
  <si>
    <t>-({c/2}x(1+rtdel))</t>
  </si>
  <si>
    <t>-AIdel</t>
  </si>
  <si>
    <t>CF</t>
  </si>
  <si>
    <t>Initial Value@Vo wid CF</t>
  </si>
  <si>
    <t>portfolio Value @V-</t>
  </si>
  <si>
    <t>portfolio Value @V+</t>
  </si>
  <si>
    <t>Initial Value@Vo</t>
  </si>
  <si>
    <t>Profit/Loss(Bond)@1% Up</t>
  </si>
  <si>
    <t>Profit/Loss(Bond)@1% Down</t>
  </si>
  <si>
    <t>Yield of the Underlying</t>
  </si>
  <si>
    <t>Mduration of Underlyin</t>
  </si>
  <si>
    <t>Conversion Factor of Underlyin</t>
  </si>
  <si>
    <t>Initial Futures Price</t>
  </si>
  <si>
    <t>Futures Price @V-</t>
  </si>
  <si>
    <t>Futures Price @V+</t>
  </si>
  <si>
    <t># of contracts</t>
  </si>
  <si>
    <t>Futures Portfolio Value @V+</t>
  </si>
  <si>
    <t>Futures Portfolio Value @V-</t>
  </si>
  <si>
    <t>Profit/Loss(Fut)@1% Up</t>
  </si>
  <si>
    <t>Profit/Loss(Fut)@1% Down</t>
  </si>
  <si>
    <t>Effectiveness @ 1% Up</t>
  </si>
  <si>
    <t>Effectiveness @ 1% Down</t>
  </si>
  <si>
    <t>Input</t>
  </si>
  <si>
    <t>Output</t>
  </si>
  <si>
    <t>Yield Change</t>
  </si>
  <si>
    <t>10-YEAR 8.97% Notional Bond Futures</t>
  </si>
  <si>
    <t>Mat</t>
  </si>
  <si>
    <t>IN0020110048</t>
  </si>
  <si>
    <t>IN0020130061</t>
  </si>
  <si>
    <t>9.15% GOVT.STOCK 2024</t>
  </si>
  <si>
    <t>8.83% GOVT.STOCK 2023</t>
  </si>
  <si>
    <t>7.16% GOVT.STOCK 2023</t>
  </si>
  <si>
    <t>Notional Coupon</t>
  </si>
  <si>
    <t>Weights</t>
  </si>
  <si>
    <t>Settlement Date(Spot)</t>
  </si>
  <si>
    <t>Initial Fut Value@Vo</t>
  </si>
  <si>
    <t>Portfolio Value</t>
  </si>
  <si>
    <t>Futures Value</t>
  </si>
  <si>
    <t>Notional Basket Fut</t>
  </si>
  <si>
    <t>Underlying</t>
  </si>
  <si>
    <t>SPOT PRICE</t>
  </si>
  <si>
    <t>Price(fut)@1%Up</t>
  </si>
  <si>
    <t>Price(fut)@1%Down</t>
  </si>
  <si>
    <t>1/CF</t>
  </si>
  <si>
    <t>Modified Duration (Futures)</t>
  </si>
  <si>
    <t>Modified Duration Portfolio</t>
  </si>
  <si>
    <t>10-YEAR 9.00% Notional Bond Futures</t>
  </si>
  <si>
    <t>Disclaimer:</t>
  </si>
  <si>
    <t>Pricing Formula</t>
  </si>
  <si>
    <t>Modified Business day</t>
  </si>
  <si>
    <t>Instructions for using Interest rate futures pricing calculator (Theoretical)</t>
  </si>
  <si>
    <t>Theoretical Futures price is displayed in OUTPUT section</t>
  </si>
  <si>
    <t>Select the GoI Security as underlying for 10 year Interest Rate Futures</t>
  </si>
  <si>
    <t>Enter Settlement Date and Final Settlement Date in "dd-mm-yyyy" format</t>
  </si>
  <si>
    <t>Enter Clean Price for the selected Underlying</t>
  </si>
  <si>
    <t>Futures price = Bond Clean Price + Financing Cost – Income</t>
  </si>
  <si>
    <t>Modified Business Day</t>
  </si>
  <si>
    <t>(Based on Simple Interest)</t>
  </si>
  <si>
    <t xml:space="preserve">Use "PRICING-Simple/"PRICING-Continous" Sheet" </t>
  </si>
  <si>
    <t>8.40% GOVT.STOCK 2024</t>
  </si>
  <si>
    <t>Yield of the Futures</t>
  </si>
  <si>
    <t>Spot Yield of Underlying</t>
  </si>
  <si>
    <t>Spot Price</t>
  </si>
  <si>
    <t>Spot Yield</t>
  </si>
  <si>
    <t>(Based on Continuous Compounding)</t>
  </si>
  <si>
    <t>Metropoliatan Stock Exchange of India Pvt Ltd., provides the calculator for the benefit of members to derive the price of IRF contracts on best-effort basis. However, the exchange gives no warranty, express or implied, as to the accuracy, reliability and completeness of any information, formulae or calculations provided through the use of the calculators and does not accept any liability for loss or damage of whatsoever nature, which may be attributable to the reliance on and use of the calculators.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</si>
</sst>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0.0000"/>
    <numFmt numFmtId="165" formatCode="dd/mmm/yyyy"/>
    <numFmt numFmtId="166" formatCode="0.0000&quot;%&quot;"/>
    <numFmt numFmtId="167" formatCode="&quot;Rs.&quot;\ #,##0.00"/>
    <numFmt numFmtId="168" formatCode="mmmm"/>
    <numFmt numFmtId="169" formatCode="0.00000"/>
    <numFmt numFmtId="170" formatCode="#,##0.0000"/>
    <numFmt numFmtId="171" formatCode="#,##0.00_ ;[Red]\-#,##0.00\ "/>
    <numFmt numFmtId="172" formatCode="_ * #,##0.000000_ ;_ * \-#,##0.000000_ ;_ * &quot;-&quot;??_ ;_ @_ "/>
    <numFmt numFmtId="173" formatCode="0.00000000"/>
    <numFmt numFmtId="174" formatCode="0.00&quot;%&quot;"/>
  </numFmts>
  <fonts count="27" x14ac:knownFonts="1">
    <font>
      <sz val="11"/>
      <color theme="1"/>
      <name val="Calibri"/>
      <family val="2"/>
      <scheme val="minor"/>
    </font>
    <font>
      <sz val="11"/>
      <color rgb="FFFF0000"/>
      <name val="Calibri"/>
      <family val="2"/>
      <scheme val="minor"/>
    </font>
    <font>
      <b/>
      <sz val="11"/>
      <color theme="1"/>
      <name val="Calibri"/>
      <family val="2"/>
      <scheme val="minor"/>
    </font>
    <font>
      <b/>
      <u/>
      <sz val="13"/>
      <color rgb="FFFFC000"/>
      <name val="Calibri"/>
      <family val="2"/>
      <scheme val="minor"/>
    </font>
    <font>
      <sz val="12"/>
      <color rgb="FF00B0F0"/>
      <name val="Calibri"/>
      <family val="2"/>
      <scheme val="minor"/>
    </font>
    <font>
      <b/>
      <u/>
      <sz val="14"/>
      <color rgb="FF00B0F0"/>
      <name val="Calibri"/>
      <family val="2"/>
      <scheme val="minor"/>
    </font>
    <font>
      <b/>
      <sz val="14"/>
      <color rgb="FF00B0F0"/>
      <name val="Calibri"/>
      <family val="2"/>
      <scheme val="minor"/>
    </font>
    <font>
      <sz val="11"/>
      <color rgb="FF00B0F0"/>
      <name val="Calibri"/>
      <family val="2"/>
      <scheme val="minor"/>
    </font>
    <font>
      <b/>
      <sz val="12"/>
      <color theme="1"/>
      <name val="Calibri"/>
      <family val="2"/>
      <scheme val="minor"/>
    </font>
    <font>
      <b/>
      <sz val="12"/>
      <color rgb="FFFFC000"/>
      <name val="Calibri"/>
      <family val="2"/>
      <scheme val="minor"/>
    </font>
    <font>
      <b/>
      <sz val="12"/>
      <name val="Calibri"/>
      <family val="2"/>
      <scheme val="minor"/>
    </font>
    <font>
      <sz val="12"/>
      <color theme="0"/>
      <name val="Calibri"/>
      <family val="2"/>
      <scheme val="minor"/>
    </font>
    <font>
      <sz val="11"/>
      <color rgb="FFFFC000"/>
      <name val="Calibri"/>
      <family val="2"/>
      <scheme val="minor"/>
    </font>
    <font>
      <b/>
      <sz val="12"/>
      <color rgb="FF00B0F0"/>
      <name val="Calibri"/>
      <family val="2"/>
      <scheme val="minor"/>
    </font>
    <font>
      <sz val="14"/>
      <color rgb="FF00B0F0"/>
      <name val="Calibri"/>
      <family val="2"/>
      <scheme val="minor"/>
    </font>
    <font>
      <b/>
      <sz val="11"/>
      <color theme="9" tint="-0.249977111117893"/>
      <name val="Calibri"/>
      <family val="2"/>
      <scheme val="minor"/>
    </font>
    <font>
      <sz val="11"/>
      <color theme="9" tint="-0.249977111117893"/>
      <name val="Calibri"/>
      <family val="2"/>
      <scheme val="minor"/>
    </font>
    <font>
      <sz val="11"/>
      <color theme="6" tint="-0.249977111117893"/>
      <name val="Calibri"/>
      <family val="2"/>
      <scheme val="minor"/>
    </font>
    <font>
      <b/>
      <sz val="11"/>
      <color rgb="FFFFC000"/>
      <name val="Calibri"/>
      <family val="2"/>
      <scheme val="minor"/>
    </font>
    <font>
      <sz val="11"/>
      <color theme="1"/>
      <name val="Calibri"/>
      <family val="2"/>
      <scheme val="minor"/>
    </font>
    <font>
      <sz val="12"/>
      <color rgb="FFFFC000"/>
      <name val="Calibri"/>
      <family val="2"/>
      <scheme val="minor"/>
    </font>
    <font>
      <sz val="11"/>
      <color theme="7" tint="0.79998168889431442"/>
      <name val="Calibri"/>
      <family val="2"/>
      <scheme val="minor"/>
    </font>
    <font>
      <i/>
      <sz val="11"/>
      <color theme="8" tint="0.39997558519241921"/>
      <name val="Calibri"/>
      <family val="2"/>
      <scheme val="minor"/>
    </font>
    <font>
      <sz val="11"/>
      <color theme="0"/>
      <name val="Calibri"/>
      <family val="2"/>
      <scheme val="minor"/>
    </font>
    <font>
      <sz val="10"/>
      <color theme="0"/>
      <name val="Calibri"/>
      <family val="2"/>
      <scheme val="minor"/>
    </font>
    <font>
      <sz val="8"/>
      <color rgb="FF00B0F0"/>
      <name val="Calibri"/>
      <family val="2"/>
      <scheme val="minor"/>
    </font>
    <font>
      <b/>
      <u/>
      <sz val="11"/>
      <color theme="0" tint="-0.1499984740745262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rgb="FF00FF00"/>
        <bgColor indexed="64"/>
      </patternFill>
    </fill>
    <fill>
      <patternFill patternType="solid">
        <fgColor rgb="FFD6E60A"/>
        <bgColor indexed="64"/>
      </patternFill>
    </fill>
    <fill>
      <patternFill patternType="solid">
        <fgColor rgb="FFFFCC99"/>
        <bgColor indexed="64"/>
      </patternFill>
    </fill>
    <fill>
      <patternFill patternType="solid">
        <fgColor theme="3" tint="0.59999389629810485"/>
        <bgColor indexed="64"/>
      </patternFill>
    </fill>
    <fill>
      <patternFill patternType="solid">
        <fgColor theme="6"/>
        <bgColor indexed="64"/>
      </patternFill>
    </fill>
    <fill>
      <patternFill patternType="solid">
        <fgColor rgb="FF00B0F0"/>
        <bgColor indexed="64"/>
      </patternFill>
    </fill>
    <fill>
      <patternFill patternType="solid">
        <fgColor rgb="FFFFFFCC"/>
        <bgColor indexed="64"/>
      </patternFill>
    </fill>
    <fill>
      <patternFill patternType="solid">
        <fgColor theme="4"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style="medium">
        <color rgb="FF00B0F0"/>
      </right>
      <top style="medium">
        <color rgb="FF00B0F0"/>
      </top>
      <bottom style="medium">
        <color rgb="FF00B0F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9" fillId="0" borderId="0" applyFont="0" applyFill="0" applyBorder="0" applyAlignment="0" applyProtection="0"/>
  </cellStyleXfs>
  <cellXfs count="108">
    <xf numFmtId="0" fontId="0" fillId="0" borderId="0" xfId="0"/>
    <xf numFmtId="15" fontId="0" fillId="0" borderId="1" xfId="0" applyNumberFormat="1" applyBorder="1"/>
    <xf numFmtId="0" fontId="0" fillId="0" borderId="1" xfId="0" applyBorder="1"/>
    <xf numFmtId="15" fontId="0" fillId="0" borderId="0" xfId="0" applyNumberFormat="1"/>
    <xf numFmtId="0" fontId="4" fillId="2" borderId="0" xfId="0" applyFont="1" applyFill="1" applyProtection="1">
      <protection hidden="1"/>
    </xf>
    <xf numFmtId="0" fontId="5" fillId="2" borderId="0" xfId="0" applyFont="1" applyFill="1" applyAlignment="1" applyProtection="1">
      <protection hidden="1"/>
    </xf>
    <xf numFmtId="0" fontId="6" fillId="2" borderId="0" xfId="0" applyFont="1" applyFill="1" applyAlignment="1" applyProtection="1">
      <protection hidden="1"/>
    </xf>
    <xf numFmtId="0" fontId="7" fillId="2" borderId="0" xfId="0" applyFont="1" applyFill="1" applyProtection="1">
      <protection hidden="1"/>
    </xf>
    <xf numFmtId="164" fontId="2" fillId="0" borderId="5" xfId="0" applyNumberFormat="1" applyFont="1" applyFill="1" applyBorder="1" applyAlignment="1" applyProtection="1">
      <alignment horizontal="left" vertical="center"/>
      <protection locked="0" hidden="1"/>
    </xf>
    <xf numFmtId="165" fontId="8" fillId="0" borderId="5" xfId="0" applyNumberFormat="1" applyFont="1" applyFill="1" applyBorder="1" applyAlignment="1" applyProtection="1">
      <alignment horizontal="center" vertical="center"/>
      <protection locked="0"/>
    </xf>
    <xf numFmtId="0" fontId="7" fillId="2" borderId="0" xfId="0" applyFont="1" applyFill="1" applyAlignment="1" applyProtection="1">
      <alignment horizontal="left" vertical="top"/>
      <protection hidden="1"/>
    </xf>
    <xf numFmtId="166" fontId="9" fillId="2" borderId="5" xfId="0" applyNumberFormat="1" applyFont="1" applyFill="1" applyBorder="1" applyAlignment="1" applyProtection="1">
      <alignment horizontal="center" vertical="center"/>
      <protection hidden="1"/>
    </xf>
    <xf numFmtId="165" fontId="9" fillId="2" borderId="5" xfId="0" applyNumberFormat="1" applyFont="1" applyFill="1" applyBorder="1" applyAlignment="1" applyProtection="1">
      <alignment horizontal="center" vertical="center"/>
      <protection hidden="1"/>
    </xf>
    <xf numFmtId="166" fontId="8" fillId="0" borderId="5" xfId="0" applyNumberFormat="1" applyFont="1" applyFill="1" applyBorder="1" applyAlignment="1" applyProtection="1">
      <alignment horizontal="center" vertical="center"/>
      <protection locked="0"/>
    </xf>
    <xf numFmtId="164" fontId="10" fillId="3" borderId="5" xfId="0" applyNumberFormat="1" applyFont="1" applyFill="1" applyBorder="1" applyAlignment="1" applyProtection="1">
      <alignment horizontal="center" vertical="center"/>
      <protection locked="0"/>
    </xf>
    <xf numFmtId="0" fontId="11" fillId="2" borderId="0" xfId="0" applyFont="1" applyFill="1" applyProtection="1">
      <protection hidden="1"/>
    </xf>
    <xf numFmtId="164" fontId="9" fillId="2" borderId="5" xfId="0" applyNumberFormat="1" applyFont="1" applyFill="1" applyBorder="1" applyAlignment="1" applyProtection="1">
      <alignment horizontal="center" vertical="center"/>
      <protection hidden="1"/>
    </xf>
    <xf numFmtId="0" fontId="2" fillId="0" borderId="1" xfId="0" applyFont="1" applyBorder="1"/>
    <xf numFmtId="0" fontId="2" fillId="0" borderId="1" xfId="0" applyFont="1" applyBorder="1" applyAlignment="1">
      <alignment wrapText="1"/>
    </xf>
    <xf numFmtId="0" fontId="2" fillId="0" borderId="9" xfId="0" applyFont="1" applyFill="1" applyBorder="1"/>
    <xf numFmtId="0" fontId="2" fillId="0" borderId="0" xfId="0" applyFont="1"/>
    <xf numFmtId="0" fontId="0" fillId="0" borderId="1" xfId="0" applyFont="1" applyBorder="1"/>
    <xf numFmtId="4" fontId="0" fillId="0" borderId="1" xfId="0" applyNumberFormat="1" applyBorder="1"/>
    <xf numFmtId="4" fontId="0" fillId="4" borderId="1" xfId="0" applyNumberFormat="1" applyFill="1" applyBorder="1"/>
    <xf numFmtId="3" fontId="0" fillId="0" borderId="1" xfId="0" applyNumberFormat="1" applyBorder="1"/>
    <xf numFmtId="0" fontId="0" fillId="4" borderId="1" xfId="0" applyFill="1" applyBorder="1"/>
    <xf numFmtId="15" fontId="0" fillId="4" borderId="1" xfId="0" applyNumberFormat="1" applyFill="1" applyBorder="1"/>
    <xf numFmtId="0" fontId="0" fillId="0" borderId="1" xfId="0" applyFill="1" applyBorder="1"/>
    <xf numFmtId="14" fontId="4" fillId="2" borderId="0" xfId="0" applyNumberFormat="1" applyFont="1" applyFill="1" applyProtection="1">
      <protection hidden="1"/>
    </xf>
    <xf numFmtId="14" fontId="7" fillId="2" borderId="0" xfId="0" applyNumberFormat="1" applyFont="1" applyFill="1" applyProtection="1">
      <protection hidden="1"/>
    </xf>
    <xf numFmtId="15" fontId="4" fillId="2" borderId="0" xfId="0" applyNumberFormat="1" applyFont="1" applyFill="1" applyProtection="1">
      <protection hidden="1"/>
    </xf>
    <xf numFmtId="0" fontId="13" fillId="2" borderId="0" xfId="0" applyFont="1" applyFill="1" applyProtection="1">
      <protection hidden="1"/>
    </xf>
    <xf numFmtId="168" fontId="4" fillId="2" borderId="0" xfId="0" applyNumberFormat="1" applyFont="1" applyFill="1" applyProtection="1">
      <protection hidden="1"/>
    </xf>
    <xf numFmtId="164" fontId="13" fillId="2" borderId="0" xfId="0" applyNumberFormat="1" applyFont="1" applyFill="1" applyProtection="1">
      <protection hidden="1"/>
    </xf>
    <xf numFmtId="4" fontId="4" fillId="2" borderId="0" xfId="0" applyNumberFormat="1" applyFont="1" applyFill="1" applyProtection="1">
      <protection hidden="1"/>
    </xf>
    <xf numFmtId="169" fontId="4" fillId="2" borderId="0" xfId="0" applyNumberFormat="1" applyFont="1" applyFill="1" applyProtection="1">
      <protection hidden="1"/>
    </xf>
    <xf numFmtId="164" fontId="4" fillId="2" borderId="0" xfId="0" applyNumberFormat="1" applyFont="1" applyFill="1" applyProtection="1">
      <protection hidden="1"/>
    </xf>
    <xf numFmtId="0" fontId="14" fillId="2" borderId="10" xfId="0" applyFont="1" applyFill="1" applyBorder="1" applyAlignment="1" applyProtection="1">
      <alignment horizontal="right"/>
      <protection hidden="1"/>
    </xf>
    <xf numFmtId="0" fontId="14" fillId="2" borderId="11" xfId="0" quotePrefix="1" applyFont="1" applyFill="1" applyBorder="1" applyProtection="1">
      <protection hidden="1"/>
    </xf>
    <xf numFmtId="0" fontId="14" fillId="2" borderId="12" xfId="0" quotePrefix="1" applyFont="1" applyFill="1" applyBorder="1" applyProtection="1">
      <protection hidden="1"/>
    </xf>
    <xf numFmtId="0" fontId="15" fillId="2" borderId="0" xfId="0" applyFont="1" applyFill="1" applyProtection="1">
      <protection locked="0"/>
    </xf>
    <xf numFmtId="0" fontId="16" fillId="2" borderId="0" xfId="0" applyFont="1" applyFill="1" applyProtection="1">
      <protection locked="0"/>
    </xf>
    <xf numFmtId="0" fontId="0" fillId="6" borderId="0" xfId="0" applyFont="1" applyFill="1" applyProtection="1">
      <protection locked="0"/>
    </xf>
    <xf numFmtId="4" fontId="0" fillId="6" borderId="0" xfId="0" applyNumberFormat="1" applyFont="1" applyFill="1" applyProtection="1">
      <protection locked="0"/>
    </xf>
    <xf numFmtId="0" fontId="0" fillId="6" borderId="0" xfId="0" quotePrefix="1" applyFont="1" applyFill="1" applyProtection="1">
      <protection locked="0"/>
    </xf>
    <xf numFmtId="0" fontId="0" fillId="5" borderId="0" xfId="0" applyFont="1" applyFill="1" applyProtection="1">
      <protection locked="0"/>
    </xf>
    <xf numFmtId="0" fontId="17" fillId="7" borderId="0" xfId="0" applyFont="1" applyFill="1" applyProtection="1">
      <protection locked="0"/>
    </xf>
    <xf numFmtId="4" fontId="17" fillId="7" borderId="0" xfId="0" applyNumberFormat="1" applyFont="1" applyFill="1" applyProtection="1">
      <protection locked="0"/>
    </xf>
    <xf numFmtId="15" fontId="17" fillId="7" borderId="0" xfId="0" applyNumberFormat="1" applyFont="1" applyFill="1" applyProtection="1">
      <protection locked="0"/>
    </xf>
    <xf numFmtId="4" fontId="17" fillId="7" borderId="0" xfId="0" applyNumberFormat="1" applyFont="1" applyFill="1" applyProtection="1"/>
    <xf numFmtId="171" fontId="17" fillId="7" borderId="0" xfId="0" applyNumberFormat="1" applyFont="1" applyFill="1" applyProtection="1">
      <protection locked="0"/>
    </xf>
    <xf numFmtId="0" fontId="0" fillId="0" borderId="1" xfId="0" applyFont="1" applyBorder="1" applyAlignment="1"/>
    <xf numFmtId="0" fontId="0" fillId="2" borderId="0" xfId="0" applyFill="1"/>
    <xf numFmtId="0" fontId="0" fillId="0" borderId="0" xfId="0" applyFill="1"/>
    <xf numFmtId="0" fontId="20" fillId="2" borderId="0" xfId="0" applyFont="1" applyFill="1" applyProtection="1">
      <protection hidden="1"/>
    </xf>
    <xf numFmtId="4" fontId="20" fillId="2" borderId="0" xfId="0" applyNumberFormat="1" applyFont="1" applyFill="1" applyProtection="1">
      <protection hidden="1"/>
    </xf>
    <xf numFmtId="0" fontId="12" fillId="2" borderId="0" xfId="0" applyFont="1" applyFill="1"/>
    <xf numFmtId="164" fontId="12" fillId="2" borderId="0" xfId="0" applyNumberFormat="1" applyFont="1" applyFill="1"/>
    <xf numFmtId="172" fontId="0" fillId="0" borderId="0" xfId="1" applyNumberFormat="1" applyFont="1"/>
    <xf numFmtId="0" fontId="1" fillId="2" borderId="7" xfId="0" applyFont="1" applyFill="1" applyBorder="1" applyAlignment="1" applyProtection="1">
      <protection hidden="1"/>
    </xf>
    <xf numFmtId="0" fontId="1" fillId="2" borderId="8" xfId="0" applyFont="1" applyFill="1" applyBorder="1" applyAlignment="1" applyProtection="1">
      <protection hidden="1"/>
    </xf>
    <xf numFmtId="0" fontId="0" fillId="10" borderId="0" xfId="0" applyFill="1"/>
    <xf numFmtId="0" fontId="0" fillId="0" borderId="0" xfId="0" quotePrefix="1"/>
    <xf numFmtId="3" fontId="0" fillId="0" borderId="0" xfId="0" applyNumberFormat="1"/>
    <xf numFmtId="4" fontId="18" fillId="2" borderId="0" xfId="0" applyNumberFormat="1" applyFont="1" applyFill="1" applyProtection="1">
      <protection locked="0"/>
    </xf>
    <xf numFmtId="15" fontId="0" fillId="10" borderId="0" xfId="0" applyNumberFormat="1" applyFill="1"/>
    <xf numFmtId="0" fontId="2" fillId="9" borderId="1" xfId="0" applyFont="1" applyFill="1" applyBorder="1"/>
    <xf numFmtId="0" fontId="2" fillId="0" borderId="1" xfId="0" applyFont="1" applyFill="1" applyBorder="1"/>
    <xf numFmtId="0" fontId="0" fillId="0" borderId="0" xfId="0" applyBorder="1"/>
    <xf numFmtId="0" fontId="0" fillId="11" borderId="0" xfId="0" applyFill="1"/>
    <xf numFmtId="15" fontId="0" fillId="11" borderId="0" xfId="0" applyNumberFormat="1" applyFill="1"/>
    <xf numFmtId="4" fontId="0" fillId="11" borderId="0" xfId="0" applyNumberFormat="1" applyFill="1"/>
    <xf numFmtId="164" fontId="0" fillId="11" borderId="0" xfId="0" applyNumberFormat="1" applyFill="1"/>
    <xf numFmtId="170" fontId="0" fillId="11" borderId="0" xfId="0" applyNumberFormat="1" applyFill="1"/>
    <xf numFmtId="0" fontId="0" fillId="9" borderId="0" xfId="0" applyFont="1" applyFill="1" applyAlignment="1" applyProtection="1">
      <alignment wrapText="1"/>
      <protection locked="0"/>
    </xf>
    <xf numFmtId="0" fontId="0" fillId="11" borderId="0" xfId="0" applyFont="1" applyFill="1"/>
    <xf numFmtId="170" fontId="0" fillId="6" borderId="0" xfId="0" applyNumberFormat="1" applyFont="1" applyFill="1" applyProtection="1">
      <protection locked="0"/>
    </xf>
    <xf numFmtId="170" fontId="17" fillId="7" borderId="0" xfId="0" applyNumberFormat="1" applyFont="1" applyFill="1" applyProtection="1">
      <protection locked="0"/>
    </xf>
    <xf numFmtId="4" fontId="0" fillId="8" borderId="10" xfId="0" applyNumberFormat="1" applyFill="1" applyBorder="1"/>
    <xf numFmtId="0" fontId="7" fillId="2" borderId="0" xfId="0" applyFont="1" applyFill="1"/>
    <xf numFmtId="15" fontId="7" fillId="2" borderId="0" xfId="0" applyNumberFormat="1" applyFont="1" applyFill="1"/>
    <xf numFmtId="173" fontId="4" fillId="2" borderId="0" xfId="0" applyNumberFormat="1" applyFont="1" applyFill="1" applyProtection="1">
      <protection hidden="1"/>
    </xf>
    <xf numFmtId="167" fontId="9" fillId="12" borderId="5" xfId="0" applyNumberFormat="1" applyFont="1" applyFill="1" applyBorder="1" applyAlignment="1" applyProtection="1">
      <alignment horizontal="center" vertical="center"/>
      <protection hidden="1"/>
    </xf>
    <xf numFmtId="0" fontId="0" fillId="12" borderId="0" xfId="0" applyFill="1"/>
    <xf numFmtId="0" fontId="21" fillId="12" borderId="0" xfId="0" applyFont="1" applyFill="1"/>
    <xf numFmtId="0" fontId="22" fillId="12" borderId="0" xfId="0" applyFont="1" applyFill="1"/>
    <xf numFmtId="0" fontId="23" fillId="12" borderId="0" xfId="0" applyFont="1" applyFill="1"/>
    <xf numFmtId="0" fontId="24" fillId="12" borderId="0" xfId="0" applyFont="1" applyFill="1"/>
    <xf numFmtId="0" fontId="25" fillId="2" borderId="0" xfId="0" applyFont="1" applyFill="1" applyAlignment="1" applyProtection="1">
      <alignment vertical="top"/>
      <protection hidden="1"/>
    </xf>
    <xf numFmtId="0" fontId="26" fillId="12" borderId="0" xfId="0" applyFont="1" applyFill="1"/>
    <xf numFmtId="0" fontId="26" fillId="12" borderId="0" xfId="0" applyFont="1" applyFill="1" applyAlignment="1">
      <alignment vertical="top"/>
    </xf>
    <xf numFmtId="165" fontId="10" fillId="0" borderId="5" xfId="0" applyNumberFormat="1" applyFont="1" applyFill="1" applyBorder="1" applyAlignment="1" applyProtection="1">
      <alignment horizontal="center" vertical="center"/>
      <protection hidden="1"/>
    </xf>
    <xf numFmtId="174" fontId="9" fillId="2" borderId="5" xfId="0" applyNumberFormat="1" applyFont="1" applyFill="1" applyBorder="1" applyAlignment="1" applyProtection="1">
      <alignment horizontal="center" vertical="center"/>
      <protection hidden="1"/>
    </xf>
    <xf numFmtId="174" fontId="8" fillId="0" borderId="5" xfId="0" applyNumberFormat="1" applyFont="1" applyFill="1" applyBorder="1" applyAlignment="1" applyProtection="1">
      <alignment horizontal="center" vertical="center"/>
      <protection locked="0"/>
    </xf>
    <xf numFmtId="0" fontId="1" fillId="2" borderId="6" xfId="0" applyFont="1" applyFill="1" applyBorder="1" applyAlignment="1" applyProtection="1">
      <protection hidden="1"/>
    </xf>
    <xf numFmtId="170" fontId="4" fillId="2" borderId="0" xfId="0" applyNumberFormat="1" applyFont="1" applyFill="1" applyProtection="1">
      <protection hidden="1"/>
    </xf>
    <xf numFmtId="0" fontId="1" fillId="7" borderId="13" xfId="0" applyFont="1" applyFill="1" applyBorder="1" applyAlignment="1" applyProtection="1">
      <protection hidden="1"/>
    </xf>
    <xf numFmtId="0" fontId="1" fillId="7" borderId="14" xfId="0" applyFont="1" applyFill="1" applyBorder="1" applyAlignment="1" applyProtection="1">
      <protection hidden="1"/>
    </xf>
    <xf numFmtId="0" fontId="1" fillId="7" borderId="15" xfId="0" applyFont="1" applyFill="1" applyBorder="1" applyAlignment="1" applyProtection="1">
      <protection hidden="1"/>
    </xf>
    <xf numFmtId="0" fontId="14" fillId="2" borderId="11" xfId="0" applyFont="1" applyFill="1" applyBorder="1" applyAlignment="1" applyProtection="1">
      <alignment horizontal="right"/>
      <protection hidden="1"/>
    </xf>
    <xf numFmtId="0" fontId="11" fillId="2" borderId="17" xfId="0" applyFont="1" applyFill="1" applyBorder="1" applyProtection="1">
      <protection hidden="1"/>
    </xf>
    <xf numFmtId="0" fontId="4" fillId="2" borderId="18" xfId="0" applyFont="1" applyFill="1" applyBorder="1" applyProtection="1">
      <protection hidden="1"/>
    </xf>
    <xf numFmtId="164" fontId="10" fillId="2" borderId="16" xfId="0" applyNumberFormat="1" applyFont="1" applyFill="1" applyBorder="1" applyAlignment="1" applyProtection="1">
      <alignment horizontal="center" vertical="center"/>
      <protection locked="0"/>
    </xf>
    <xf numFmtId="0" fontId="24" fillId="12" borderId="0" xfId="0" applyFont="1" applyFill="1" applyAlignment="1">
      <alignment horizontal="justify" vertical="top"/>
    </xf>
    <xf numFmtId="0" fontId="3" fillId="2" borderId="0" xfId="0" applyFont="1" applyFill="1" applyAlignment="1" applyProtection="1">
      <alignment horizontal="center"/>
      <protection hidden="1"/>
    </xf>
    <xf numFmtId="164" fontId="2" fillId="0" borderId="2" xfId="0" applyNumberFormat="1" applyFont="1" applyFill="1" applyBorder="1" applyAlignment="1" applyProtection="1">
      <alignment horizontal="left" vertical="top"/>
      <protection locked="0" hidden="1"/>
    </xf>
    <xf numFmtId="164" fontId="2" fillId="0" borderId="3" xfId="0" applyNumberFormat="1" applyFont="1" applyFill="1" applyBorder="1" applyAlignment="1" applyProtection="1">
      <alignment horizontal="left" vertical="top"/>
      <protection locked="0" hidden="1"/>
    </xf>
    <xf numFmtId="164" fontId="2" fillId="0" borderId="4" xfId="0" applyNumberFormat="1" applyFont="1" applyFill="1" applyBorder="1" applyAlignment="1" applyProtection="1">
      <alignment horizontal="left" vertical="top"/>
      <protection locked="0" hidden="1"/>
    </xf>
  </cellXfs>
  <cellStyles count="2">
    <cellStyle name="Comma" xfId="1" builtinId="3"/>
    <cellStyle name="Normal" xfId="0" builtinId="0"/>
  </cellStyles>
  <dxfs count="0"/>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F_calcv3.0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Pricing"/>
      <sheetName val="Futures Specs"/>
      <sheetName val="Holidays"/>
      <sheetName val="Basket_hedge_work"/>
    </sheetNames>
    <sheetDataSet>
      <sheetData sheetId="0"/>
      <sheetData sheetId="1"/>
      <sheetData sheetId="2">
        <row r="1">
          <cell r="A1" t="str">
            <v>DESC</v>
          </cell>
          <cell r="K1" t="str">
            <v>10-YEAR 8.97% Notional Bond Futures</v>
          </cell>
          <cell r="L1" t="str">
            <v>Notional Coupon</v>
          </cell>
          <cell r="M1">
            <v>8.9700000000000006</v>
          </cell>
          <cell r="N1">
            <v>0</v>
          </cell>
          <cell r="O1">
            <v>0</v>
          </cell>
          <cell r="P1">
            <v>0</v>
          </cell>
        </row>
        <row r="2">
          <cell r="K2" t="str">
            <v>ISIN</v>
          </cell>
          <cell r="L2" t="str">
            <v>DESC</v>
          </cell>
          <cell r="M2" t="str">
            <v>Mat</v>
          </cell>
          <cell r="N2" t="str">
            <v>Coupon</v>
          </cell>
          <cell r="O2" t="str">
            <v>Weights</v>
          </cell>
          <cell r="P2" t="str">
            <v>CF</v>
          </cell>
        </row>
        <row r="3">
          <cell r="K3" t="str">
            <v>IN0020130012</v>
          </cell>
          <cell r="L3" t="str">
            <v>7.16% GOVT.STOCK 2023</v>
          </cell>
          <cell r="M3">
            <v>45066</v>
          </cell>
          <cell r="N3">
            <v>7.16</v>
          </cell>
          <cell r="O3">
            <v>0.4</v>
          </cell>
          <cell r="P3">
            <v>0</v>
          </cell>
        </row>
        <row r="4">
          <cell r="K4" t="str">
            <v>IN0020130061</v>
          </cell>
          <cell r="L4" t="str">
            <v>8.83% GOVT.STOCK 2023</v>
          </cell>
          <cell r="M4">
            <v>45255</v>
          </cell>
          <cell r="N4">
            <v>8.83</v>
          </cell>
          <cell r="O4">
            <v>0.3</v>
          </cell>
          <cell r="P4">
            <v>0</v>
          </cell>
        </row>
        <row r="5">
          <cell r="K5" t="str">
            <v>IN0020110048</v>
          </cell>
          <cell r="L5" t="str">
            <v>9.15% GOVT.STOCK 2024</v>
          </cell>
          <cell r="M5">
            <v>45610</v>
          </cell>
          <cell r="N5">
            <v>9.15</v>
          </cell>
          <cell r="O5">
            <v>0.3</v>
          </cell>
          <cell r="P5">
            <v>0</v>
          </cell>
        </row>
        <row r="8">
          <cell r="K8" t="str">
            <v>10-YEAR 9.00% Notional Bond Futures</v>
          </cell>
          <cell r="L8" t="str">
            <v>Notional Coupon</v>
          </cell>
          <cell r="M8">
            <v>9</v>
          </cell>
          <cell r="N8">
            <v>0</v>
          </cell>
          <cell r="O8">
            <v>0</v>
          </cell>
          <cell r="P8">
            <v>0</v>
          </cell>
        </row>
        <row r="9">
          <cell r="K9" t="str">
            <v>ISIN</v>
          </cell>
          <cell r="L9" t="str">
            <v>DESC</v>
          </cell>
          <cell r="M9" t="str">
            <v>Mat</v>
          </cell>
          <cell r="N9" t="str">
            <v>Coupon</v>
          </cell>
          <cell r="O9" t="str">
            <v>Weights</v>
          </cell>
          <cell r="P9" t="str">
            <v>CF</v>
          </cell>
        </row>
        <row r="10">
          <cell r="K10" t="str">
            <v>IN0020130012</v>
          </cell>
          <cell r="L10" t="str">
            <v>7.16% GOVT.STOCK 2023</v>
          </cell>
          <cell r="M10">
            <v>48354</v>
          </cell>
          <cell r="N10">
            <v>7.16</v>
          </cell>
          <cell r="O10">
            <v>0.4</v>
          </cell>
          <cell r="P10">
            <v>0</v>
          </cell>
        </row>
        <row r="11">
          <cell r="K11" t="str">
            <v>IN0020130061</v>
          </cell>
          <cell r="L11" t="str">
            <v>8.83% GOVT.STOCK 2023</v>
          </cell>
          <cell r="M11">
            <v>48354</v>
          </cell>
          <cell r="N11">
            <v>8.83</v>
          </cell>
          <cell r="O11">
            <v>0.3</v>
          </cell>
          <cell r="P11">
            <v>0</v>
          </cell>
        </row>
        <row r="12">
          <cell r="K12" t="str">
            <v>IN0020110048</v>
          </cell>
          <cell r="L12" t="str">
            <v>9.15% GOVT.STOCK 2024</v>
          </cell>
          <cell r="M12">
            <v>48354</v>
          </cell>
          <cell r="N12">
            <v>9.15</v>
          </cell>
          <cell r="O12">
            <v>0.3</v>
          </cell>
          <cell r="P12">
            <v>0</v>
          </cell>
        </row>
      </sheetData>
      <sheetData sheetId="3">
        <row r="1">
          <cell r="A1">
            <v>41653</v>
          </cell>
        </row>
        <row r="2">
          <cell r="A2">
            <v>41689</v>
          </cell>
        </row>
        <row r="3">
          <cell r="A3">
            <v>41697</v>
          </cell>
        </row>
        <row r="4">
          <cell r="A4">
            <v>41715</v>
          </cell>
        </row>
        <row r="5">
          <cell r="A5">
            <v>41729</v>
          </cell>
        </row>
        <row r="6">
          <cell r="A6">
            <v>41737</v>
          </cell>
        </row>
        <row r="7">
          <cell r="A7">
            <v>41743</v>
          </cell>
        </row>
        <row r="8">
          <cell r="A8">
            <v>41747</v>
          </cell>
        </row>
        <row r="9">
          <cell r="A9">
            <v>41760</v>
          </cell>
        </row>
        <row r="10">
          <cell r="A10">
            <v>41773</v>
          </cell>
        </row>
        <row r="11">
          <cell r="A11">
            <v>41849</v>
          </cell>
        </row>
        <row r="12">
          <cell r="A12">
            <v>41866</v>
          </cell>
        </row>
        <row r="13">
          <cell r="A13">
            <v>41869</v>
          </cell>
        </row>
        <row r="14">
          <cell r="A14">
            <v>41880</v>
          </cell>
        </row>
        <row r="15">
          <cell r="A15">
            <v>41914</v>
          </cell>
        </row>
        <row r="16">
          <cell r="A16">
            <v>41915</v>
          </cell>
        </row>
        <row r="17">
          <cell r="A17">
            <v>41918</v>
          </cell>
        </row>
        <row r="18">
          <cell r="A18">
            <v>41935</v>
          </cell>
        </row>
        <row r="19">
          <cell r="A19">
            <v>41936</v>
          </cell>
        </row>
        <row r="20">
          <cell r="A20">
            <v>41947</v>
          </cell>
        </row>
        <row r="21">
          <cell r="A21">
            <v>41949</v>
          </cell>
        </row>
        <row r="22">
          <cell r="A22">
            <v>41998</v>
          </cell>
        </row>
        <row r="23">
          <cell r="A23">
            <v>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P19"/>
  <sheetViews>
    <sheetView showGridLines="0" workbookViewId="0"/>
  </sheetViews>
  <sheetFormatPr defaultColWidth="0" defaultRowHeight="15" zeroHeight="1" x14ac:dyDescent="0.25"/>
  <cols>
    <col min="1" max="1" width="11.140625" style="83" customWidth="1"/>
    <col min="2" max="16" width="9.140625" style="83" customWidth="1"/>
    <col min="17" max="16384" width="9.140625" style="83" hidden="1"/>
  </cols>
  <sheetData>
    <row r="1" spans="1:16" ht="16.5" thickBot="1" x14ac:dyDescent="0.3">
      <c r="A1" s="91" t="s">
        <v>63</v>
      </c>
      <c r="B1" s="82" t="s">
        <v>64</v>
      </c>
    </row>
    <row r="2" spans="1:16" x14ac:dyDescent="0.25"/>
    <row r="3" spans="1:16" x14ac:dyDescent="0.25">
      <c r="A3" s="89" t="s">
        <v>91</v>
      </c>
    </row>
    <row r="4" spans="1:16" x14ac:dyDescent="0.25">
      <c r="A4" s="85" t="s">
        <v>99</v>
      </c>
    </row>
    <row r="5" spans="1:16" x14ac:dyDescent="0.25">
      <c r="A5" s="86">
        <v>1</v>
      </c>
      <c r="B5" s="86" t="s">
        <v>93</v>
      </c>
    </row>
    <row r="6" spans="1:16" x14ac:dyDescent="0.25">
      <c r="A6" s="86">
        <f t="shared" ref="A6:A8" si="0">+A5+1</f>
        <v>2</v>
      </c>
      <c r="B6" s="86" t="s">
        <v>94</v>
      </c>
    </row>
    <row r="7" spans="1:16" x14ac:dyDescent="0.25">
      <c r="A7" s="86">
        <f t="shared" si="0"/>
        <v>3</v>
      </c>
      <c r="B7" s="86" t="s">
        <v>95</v>
      </c>
    </row>
    <row r="8" spans="1:16" x14ac:dyDescent="0.25">
      <c r="A8" s="86">
        <f t="shared" si="0"/>
        <v>4</v>
      </c>
      <c r="B8" s="86" t="s">
        <v>92</v>
      </c>
    </row>
    <row r="9" spans="1:16" x14ac:dyDescent="0.25">
      <c r="A9" s="86"/>
      <c r="B9" s="86"/>
    </row>
    <row r="10" spans="1:16" x14ac:dyDescent="0.25">
      <c r="A10" s="85" t="s">
        <v>89</v>
      </c>
    </row>
    <row r="11" spans="1:16" x14ac:dyDescent="0.25">
      <c r="B11" s="86" t="s">
        <v>96</v>
      </c>
    </row>
    <row r="12" spans="1:16" x14ac:dyDescent="0.25">
      <c r="B12" s="87"/>
    </row>
    <row r="13" spans="1:16" x14ac:dyDescent="0.25"/>
    <row r="14" spans="1:16" x14ac:dyDescent="0.25">
      <c r="A14" s="90" t="s">
        <v>88</v>
      </c>
      <c r="B14" s="103" t="s">
        <v>106</v>
      </c>
      <c r="C14" s="103"/>
      <c r="D14" s="103"/>
      <c r="E14" s="103"/>
      <c r="F14" s="103"/>
      <c r="G14" s="103"/>
      <c r="H14" s="103"/>
      <c r="I14" s="103"/>
      <c r="J14" s="103"/>
      <c r="K14" s="103"/>
      <c r="L14" s="103"/>
      <c r="M14" s="103"/>
      <c r="N14" s="103"/>
      <c r="O14" s="103"/>
      <c r="P14" s="103"/>
    </row>
    <row r="15" spans="1:16" x14ac:dyDescent="0.25">
      <c r="A15" s="84"/>
      <c r="B15" s="103"/>
      <c r="C15" s="103"/>
      <c r="D15" s="103"/>
      <c r="E15" s="103"/>
      <c r="F15" s="103"/>
      <c r="G15" s="103"/>
      <c r="H15" s="103"/>
      <c r="I15" s="103"/>
      <c r="J15" s="103"/>
      <c r="K15" s="103"/>
      <c r="L15" s="103"/>
      <c r="M15" s="103"/>
      <c r="N15" s="103"/>
      <c r="O15" s="103"/>
      <c r="P15" s="103"/>
    </row>
    <row r="16" spans="1:16" x14ac:dyDescent="0.25">
      <c r="A16" s="84"/>
      <c r="B16" s="103"/>
      <c r="C16" s="103"/>
      <c r="D16" s="103"/>
      <c r="E16" s="103"/>
      <c r="F16" s="103"/>
      <c r="G16" s="103"/>
      <c r="H16" s="103"/>
      <c r="I16" s="103"/>
      <c r="J16" s="103"/>
      <c r="K16" s="103"/>
      <c r="L16" s="103"/>
      <c r="M16" s="103"/>
      <c r="N16" s="103"/>
      <c r="O16" s="103"/>
      <c r="P16" s="103"/>
    </row>
    <row r="17" x14ac:dyDescent="0.25"/>
    <row r="18" hidden="1" x14ac:dyDescent="0.25"/>
    <row r="19" hidden="1" x14ac:dyDescent="0.25"/>
  </sheetData>
  <mergeCells count="1">
    <mergeCell ref="B14:P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XFD35"/>
  <sheetViews>
    <sheetView showGridLines="0" tabSelected="1" zoomScaleNormal="100" workbookViewId="0">
      <selection activeCell="B10" sqref="B10"/>
    </sheetView>
  </sheetViews>
  <sheetFormatPr defaultColWidth="0" defaultRowHeight="15" zeroHeight="1" x14ac:dyDescent="0.25"/>
  <cols>
    <col min="1" max="1" width="23.140625" customWidth="1"/>
    <col min="2" max="2" width="24.140625" bestFit="1" customWidth="1"/>
    <col min="3" max="3" width="10" bestFit="1" customWidth="1"/>
    <col min="4" max="4" width="22.140625" customWidth="1"/>
    <col min="5" max="5" width="14.28515625" bestFit="1" customWidth="1"/>
    <col min="6" max="6" width="16.7109375" customWidth="1"/>
    <col min="7" max="7" width="23.140625" hidden="1"/>
    <col min="8" max="8" width="20.140625" hidden="1"/>
    <col min="9" max="9" width="14.28515625" hidden="1"/>
    <col min="10" max="10" width="8.42578125" hidden="1"/>
    <col min="11" max="11" width="12.42578125" hidden="1"/>
    <col min="12" max="12" width="22.42578125" hidden="1"/>
    <col min="13" max="13" width="22.7109375" hidden="1"/>
    <col min="14" max="14" width="10.5703125" hidden="1"/>
    <col min="15" max="15" width="5.7109375" hidden="1"/>
    <col min="16" max="16" width="6.140625" hidden="1"/>
    <col min="17" max="17" width="12.42578125" hidden="1"/>
    <col min="18" max="18" width="9.140625" hidden="1"/>
    <col min="19" max="19" width="22.7109375" hidden="1"/>
    <col min="20" max="20" width="10.5703125" hidden="1"/>
    <col min="21" max="21" width="5.7109375" hidden="1"/>
    <col min="22" max="22" width="6.140625" hidden="1"/>
    <col min="23" max="23" width="12.42578125" hidden="1"/>
  </cols>
  <sheetData>
    <row r="1" spans="1:13 16384:16384" ht="17.25" x14ac:dyDescent="0.3">
      <c r="A1" s="104" t="s">
        <v>1</v>
      </c>
      <c r="B1" s="104"/>
      <c r="C1" s="104"/>
      <c r="D1" s="104"/>
      <c r="E1" s="104"/>
      <c r="F1" s="104"/>
    </row>
    <row r="2" spans="1:13 16384:16384" ht="15.75" x14ac:dyDescent="0.25">
      <c r="A2" s="4"/>
      <c r="B2" s="4"/>
      <c r="C2" s="4"/>
      <c r="D2" s="4"/>
      <c r="E2" s="4"/>
      <c r="F2" s="4"/>
    </row>
    <row r="3" spans="1:13 16384:16384" ht="19.5" thickBot="1" x14ac:dyDescent="0.35">
      <c r="A3" s="5" t="s">
        <v>2</v>
      </c>
      <c r="B3" s="6"/>
      <c r="C3" s="4"/>
      <c r="D3" s="4"/>
      <c r="E3" s="4"/>
      <c r="F3" s="4"/>
      <c r="G3" s="4"/>
      <c r="H3" s="28"/>
      <c r="I3" s="4"/>
      <c r="J3" s="4" t="s">
        <v>34</v>
      </c>
      <c r="K3" s="4"/>
      <c r="L3" s="79"/>
      <c r="M3" s="79"/>
    </row>
    <row r="4" spans="1:13 16384:16384" ht="16.5" thickBot="1" x14ac:dyDescent="0.3">
      <c r="A4" s="4" t="s">
        <v>3</v>
      </c>
      <c r="B4" s="105" t="s">
        <v>4</v>
      </c>
      <c r="C4" s="106"/>
      <c r="D4" s="107"/>
      <c r="E4" s="7" t="str">
        <f>IFERROR(INDEX('Futures Specs'!$K$1:$Q$18,MATCH(B4,'Futures Specs'!$K$1:$K$15,0)+2,2),"")</f>
        <v/>
      </c>
      <c r="F4" s="7"/>
      <c r="G4" s="7"/>
      <c r="H4" s="29"/>
      <c r="I4" s="7"/>
      <c r="J4" s="7"/>
      <c r="K4" s="7"/>
      <c r="L4" s="79"/>
      <c r="M4" s="79"/>
    </row>
    <row r="5" spans="1:13 16384:16384" ht="15.75" thickBot="1" x14ac:dyDescent="0.3">
      <c r="A5" s="7"/>
      <c r="B5" s="7"/>
      <c r="C5" s="7"/>
      <c r="D5" s="7"/>
      <c r="E5" s="7"/>
      <c r="F5" s="7"/>
      <c r="G5" s="7"/>
      <c r="H5" s="7"/>
      <c r="I5" s="7"/>
      <c r="J5" s="7"/>
      <c r="K5" s="7"/>
      <c r="L5" s="79"/>
      <c r="M5" s="79"/>
    </row>
    <row r="6" spans="1:13 16384:16384" ht="16.5" thickBot="1" x14ac:dyDescent="0.3">
      <c r="A6" s="4" t="s">
        <v>5</v>
      </c>
      <c r="B6" s="8" t="s">
        <v>100</v>
      </c>
      <c r="C6" s="4"/>
      <c r="D6" s="4" t="s">
        <v>75</v>
      </c>
      <c r="E6" s="9"/>
      <c r="F6" s="4"/>
      <c r="G6" s="4"/>
      <c r="H6" s="54" t="s">
        <v>35</v>
      </c>
      <c r="I6" s="54">
        <v>365</v>
      </c>
      <c r="J6" s="54">
        <v>360</v>
      </c>
      <c r="K6" s="54" t="s">
        <v>36</v>
      </c>
      <c r="L6" s="54" t="s">
        <v>90</v>
      </c>
      <c r="M6" s="79"/>
    </row>
    <row r="7" spans="1:13 16384:16384" ht="16.5" thickBot="1" x14ac:dyDescent="0.3">
      <c r="A7" s="4"/>
      <c r="B7" s="4"/>
      <c r="C7" s="4"/>
      <c r="D7" s="10" t="s">
        <v>10</v>
      </c>
      <c r="E7" s="4"/>
      <c r="F7" s="4"/>
      <c r="G7" s="4"/>
      <c r="H7" s="30"/>
      <c r="I7" s="4"/>
      <c r="J7" s="4"/>
      <c r="K7" s="4"/>
      <c r="L7" s="79"/>
      <c r="M7" s="79"/>
    </row>
    <row r="8" spans="1:13 16384:16384" ht="16.5" thickBot="1" x14ac:dyDescent="0.3">
      <c r="A8" s="4" t="s">
        <v>6</v>
      </c>
      <c r="B8" s="92">
        <f>IFERROR(IF(LEFT(B6,2)*1=91,0,LEFT(B6,4)*1),"")</f>
        <v>8.4</v>
      </c>
      <c r="C8" s="4"/>
      <c r="D8" s="4" t="s">
        <v>11</v>
      </c>
      <c r="E8" s="9"/>
      <c r="F8" s="4"/>
      <c r="G8" s="30" t="s">
        <v>37</v>
      </c>
      <c r="H8" s="30">
        <f>COUPPCD(E6,B10,2,4)</f>
        <v>0</v>
      </c>
      <c r="I8" s="4">
        <f>COUPDAYBS(E6,$B$10,2,4)</f>
        <v>0</v>
      </c>
      <c r="J8" s="31">
        <f>COUPDAYBS(E8,$B$10,2,4)</f>
        <v>0</v>
      </c>
      <c r="K8" s="4">
        <f>IF(DAYS360(H8,E6)=0,180,COUPDAYBS(E6,$B$10,2,4))</f>
        <v>180</v>
      </c>
      <c r="L8" s="80" t="e">
        <f>WORKDAY(H8-1,1,Holidays!$A$1:$A$220)</f>
        <v>#NUM!</v>
      </c>
      <c r="M8" s="79"/>
    </row>
    <row r="9" spans="1:13 16384:16384" ht="16.5" thickBot="1" x14ac:dyDescent="0.3">
      <c r="A9" s="4"/>
      <c r="B9" s="4"/>
      <c r="C9" s="4"/>
      <c r="D9" s="10" t="s">
        <v>10</v>
      </c>
      <c r="E9" s="4"/>
      <c r="F9" s="4"/>
      <c r="G9" s="32" t="s">
        <v>38</v>
      </c>
      <c r="H9" s="30">
        <f>COUPNCD(E6,B10,2,4)</f>
        <v>28</v>
      </c>
      <c r="I9" s="4">
        <f>COUPDAYBS(E8,$B$10,2,4)</f>
        <v>0</v>
      </c>
      <c r="J9" s="4">
        <f>E8-L9</f>
        <v>-30</v>
      </c>
      <c r="K9" s="4"/>
      <c r="L9" s="80">
        <f>WORKDAY(H9-1,1,Holidays!$A$1:$A$220)</f>
        <v>30</v>
      </c>
      <c r="M9" s="79"/>
    </row>
    <row r="10" spans="1:13 16384:16384" ht="16.5" thickBot="1" x14ac:dyDescent="0.3">
      <c r="A10" s="4" t="s">
        <v>7</v>
      </c>
      <c r="B10" s="12">
        <f>IFERROR(HLOOKUP(B6,'Futures Specs'!$A$1:$D$5,5,0),"")</f>
        <v>45501</v>
      </c>
      <c r="C10" s="4"/>
      <c r="D10" s="4" t="s">
        <v>12</v>
      </c>
      <c r="E10" s="93"/>
      <c r="F10" s="4"/>
      <c r="G10" s="4" t="s">
        <v>39</v>
      </c>
      <c r="H10" s="4"/>
      <c r="I10" s="4">
        <f>(E8-E6)</f>
        <v>0</v>
      </c>
      <c r="J10" s="4"/>
      <c r="K10" s="4"/>
      <c r="L10" s="79"/>
      <c r="M10" s="79"/>
    </row>
    <row r="11" spans="1:13 16384:16384" ht="15.75" x14ac:dyDescent="0.25">
      <c r="A11" s="4"/>
      <c r="B11" s="4"/>
      <c r="C11" s="4"/>
      <c r="D11" s="4"/>
      <c r="E11" s="4"/>
      <c r="F11" s="95"/>
      <c r="G11" s="4"/>
      <c r="H11" s="33"/>
      <c r="I11" s="4"/>
      <c r="J11" s="4"/>
      <c r="K11" s="34"/>
      <c r="L11" s="79"/>
      <c r="M11" s="79"/>
    </row>
    <row r="12" spans="1:13 16384:16384" ht="6.75" customHeight="1" thickBot="1" x14ac:dyDescent="0.3">
      <c r="A12" s="52"/>
      <c r="B12" s="52"/>
      <c r="C12" s="52"/>
      <c r="D12" s="52"/>
      <c r="E12" s="4"/>
      <c r="F12" s="95"/>
      <c r="G12" s="35" t="e">
        <f>IF(E6=H8,(G15+(B8*K8/J6))*(1+E10%*I10/I6),(G15+(B8*I8/J6))*(1+E10%*I10/I6))</f>
        <v>#VALUE!</v>
      </c>
      <c r="H12" s="35">
        <f>IF(H8=E6,(B8/2)*(1+E10%*I10/I6),IF(J9&lt;0,0,((B8/2)*(1+E10%*J9/I6))))</f>
        <v>4.2</v>
      </c>
      <c r="I12" s="4">
        <f>IF(E6=H8,(B8*J8/J6),(IF(H12=0,+(B8*J8/J6),(B8*I9/J6))))</f>
        <v>0</v>
      </c>
      <c r="J12" s="4"/>
      <c r="K12" s="4"/>
      <c r="L12" s="79"/>
      <c r="M12" s="79"/>
    </row>
    <row r="13" spans="1:13 16384:16384" ht="19.5" thickBot="1" x14ac:dyDescent="0.35">
      <c r="A13" s="5" t="s">
        <v>2</v>
      </c>
      <c r="B13" s="4" t="s">
        <v>8</v>
      </c>
      <c r="C13" s="14"/>
      <c r="D13" s="52"/>
      <c r="E13" s="100"/>
      <c r="F13" s="101"/>
      <c r="G13" s="99" t="s">
        <v>40</v>
      </c>
      <c r="H13" s="38" t="s">
        <v>41</v>
      </c>
      <c r="I13" s="39" t="s">
        <v>42</v>
      </c>
      <c r="J13" s="4"/>
      <c r="K13" s="4"/>
      <c r="L13" s="79"/>
      <c r="M13" s="79"/>
    </row>
    <row r="14" spans="1:13 16384:16384" ht="19.5" thickBot="1" x14ac:dyDescent="0.35">
      <c r="A14" s="5" t="s">
        <v>13</v>
      </c>
      <c r="B14" s="6"/>
      <c r="C14" s="7"/>
      <c r="D14" s="15"/>
      <c r="E14" s="15"/>
      <c r="F14" s="4"/>
      <c r="G14" s="81" t="e">
        <f>G12-H12-I12</f>
        <v>#VALUE!</v>
      </c>
      <c r="H14" s="31"/>
      <c r="I14" s="4"/>
      <c r="J14" s="4"/>
      <c r="K14" s="4"/>
      <c r="L14" s="79"/>
      <c r="M14" s="79"/>
      <c r="XFD14" s="58"/>
    </row>
    <row r="15" spans="1:13 16384:16384" ht="16.5" thickBot="1" x14ac:dyDescent="0.3">
      <c r="A15" s="4" t="s">
        <v>104</v>
      </c>
      <c r="B15" s="11" t="str">
        <f>IFERROR(YIELD(E6,B10,B8%,C13,100,2,4)*100,"")</f>
        <v/>
      </c>
      <c r="C15" s="7"/>
      <c r="D15" s="15"/>
      <c r="E15" s="15"/>
      <c r="F15" s="4"/>
      <c r="G15" s="36" t="str">
        <f>IF(ISBLANK(C13),B21,C13)</f>
        <v/>
      </c>
      <c r="H15" s="31"/>
      <c r="I15" s="4"/>
      <c r="J15" s="4"/>
      <c r="K15" s="4"/>
      <c r="L15" s="79"/>
      <c r="M15" s="79"/>
      <c r="XFD15" s="58"/>
    </row>
    <row r="16" spans="1:13 16384:16384" ht="16.5" thickBot="1" x14ac:dyDescent="0.3">
      <c r="A16" s="4" t="s">
        <v>14</v>
      </c>
      <c r="B16" s="16" t="str">
        <f>IF(OR(ISBLANK(B6),ISBLANK(C13)),"",IFERROR(IF(LEFT(B6,2)*1=91,"Not Available",(MROUND(G14,0.0025))),"Invalid Input"))</f>
        <v/>
      </c>
      <c r="C16" s="7"/>
      <c r="D16" s="4" t="s">
        <v>101</v>
      </c>
      <c r="E16" s="11" t="str">
        <f>IFERROR(YIELD(E8,B10,B8%,B16,100,2,4)*100,"")</f>
        <v/>
      </c>
      <c r="F16" s="4"/>
    </row>
    <row r="17" spans="1:16" ht="15.75" x14ac:dyDescent="0.25">
      <c r="A17" s="88" t="s">
        <v>98</v>
      </c>
      <c r="B17" s="4"/>
      <c r="C17" s="4"/>
      <c r="D17" s="88"/>
      <c r="E17" s="4"/>
      <c r="F17" s="4"/>
    </row>
    <row r="18" spans="1:16" ht="4.5" customHeight="1" thickBot="1" x14ac:dyDescent="0.3">
      <c r="A18" s="96"/>
      <c r="B18" s="97"/>
      <c r="C18" s="97"/>
      <c r="D18" s="97"/>
      <c r="E18" s="97"/>
      <c r="F18" s="98"/>
    </row>
    <row r="19" spans="1:16" ht="17.25" customHeight="1" thickBot="1" x14ac:dyDescent="0.35">
      <c r="A19" s="5" t="s">
        <v>2</v>
      </c>
      <c r="B19" s="4" t="s">
        <v>102</v>
      </c>
      <c r="C19" s="93"/>
      <c r="D19" s="59"/>
      <c r="E19" s="59"/>
      <c r="F19" s="60"/>
      <c r="P19" s="79"/>
    </row>
    <row r="20" spans="1:16" ht="19.5" thickBot="1" x14ac:dyDescent="0.35">
      <c r="A20" s="5" t="s">
        <v>13</v>
      </c>
      <c r="B20" s="6"/>
      <c r="C20" s="7"/>
      <c r="D20" s="15"/>
      <c r="E20" s="15"/>
      <c r="F20" s="60"/>
    </row>
    <row r="21" spans="1:16" ht="16.5" thickBot="1" x14ac:dyDescent="0.3">
      <c r="A21" s="4" t="s">
        <v>103</v>
      </c>
      <c r="B21" s="16" t="str">
        <f>IF(OR(ISBLANK(B6),ISBLANK(C19)),"",(MROUND(PRICE(E6,B10,B8%,C19%,100,2,4),0.0025)))</f>
        <v/>
      </c>
      <c r="C21" s="7"/>
      <c r="D21" s="15"/>
      <c r="E21" s="15"/>
      <c r="F21" s="60"/>
    </row>
    <row r="22" spans="1:16" ht="16.5" thickBot="1" x14ac:dyDescent="0.3">
      <c r="A22" s="4" t="s">
        <v>14</v>
      </c>
      <c r="B22" s="16" t="str">
        <f>IF(OR(ISBLANK(B6),ISBLANK(C19)),"",IFERROR(IF(LEFT(B6,2)*1=91,"Not Available",(MROUND(G14,0.0025))),"Invalid Input"))</f>
        <v/>
      </c>
      <c r="C22" s="7"/>
      <c r="D22" s="4" t="s">
        <v>101</v>
      </c>
      <c r="E22" s="11" t="str">
        <f>IFERROR(YIELD(E8,B10,B8%,B22,100,2,4)*100,"")</f>
        <v/>
      </c>
      <c r="F22" s="60"/>
    </row>
    <row r="23" spans="1:16" ht="16.5" thickBot="1" x14ac:dyDescent="0.3">
      <c r="A23" s="88" t="s">
        <v>98</v>
      </c>
      <c r="B23" s="4"/>
      <c r="C23" s="4"/>
      <c r="D23" s="88"/>
      <c r="E23" s="4"/>
      <c r="F23" s="60"/>
    </row>
    <row r="24" spans="1:16" hidden="1" x14ac:dyDescent="0.25"/>
    <row r="25" spans="1:16" hidden="1" x14ac:dyDescent="0.25"/>
    <row r="26" spans="1:16" ht="15.75" hidden="1" thickBot="1" x14ac:dyDescent="0.3">
      <c r="A26" s="94"/>
      <c r="B26" s="59"/>
      <c r="C26" s="59"/>
      <c r="D26" s="59"/>
      <c r="E26" s="59"/>
      <c r="F26" s="60"/>
    </row>
    <row r="27" spans="1:16" ht="15.75" hidden="1" thickBot="1" x14ac:dyDescent="0.3">
      <c r="A27" s="94"/>
      <c r="B27" s="59"/>
      <c r="C27" s="59"/>
      <c r="D27" s="59"/>
      <c r="E27" s="59"/>
      <c r="F27" s="60"/>
    </row>
    <row r="28" spans="1:16" ht="15.75" hidden="1" thickBot="1" x14ac:dyDescent="0.3">
      <c r="A28" s="94"/>
      <c r="B28" s="59"/>
      <c r="C28" s="59"/>
      <c r="D28" s="59"/>
      <c r="E28" s="59"/>
      <c r="F28" s="60"/>
    </row>
    <row r="29" spans="1:16" ht="15.75" hidden="1" thickBot="1" x14ac:dyDescent="0.3">
      <c r="A29" s="94"/>
      <c r="B29" s="59"/>
      <c r="C29" s="59"/>
      <c r="D29" s="59"/>
      <c r="E29" s="59"/>
      <c r="F29" s="60"/>
    </row>
    <row r="30" spans="1:16" ht="15.75" hidden="1" thickBot="1" x14ac:dyDescent="0.3">
      <c r="A30" s="94"/>
      <c r="B30" s="59"/>
      <c r="C30" s="59"/>
      <c r="D30" s="59"/>
      <c r="E30" s="59"/>
      <c r="F30" s="60"/>
    </row>
    <row r="31" spans="1:16" ht="15.75" hidden="1" thickBot="1" x14ac:dyDescent="0.3">
      <c r="A31" s="94"/>
      <c r="B31" s="59"/>
      <c r="C31" s="59"/>
      <c r="D31" s="59"/>
      <c r="E31" s="59"/>
      <c r="F31" s="60"/>
    </row>
    <row r="32" spans="1:16" ht="15.75" hidden="1" thickBot="1" x14ac:dyDescent="0.3">
      <c r="A32" s="94"/>
      <c r="B32" s="59"/>
      <c r="C32" s="59"/>
      <c r="D32" s="59"/>
      <c r="E32" s="59"/>
      <c r="F32" s="60"/>
    </row>
    <row r="33" spans="1:6" ht="18" hidden="1" customHeight="1" thickBot="1" x14ac:dyDescent="0.3">
      <c r="A33" s="94"/>
      <c r="B33" s="59"/>
      <c r="C33" s="59"/>
      <c r="D33" s="59"/>
      <c r="E33" s="59"/>
      <c r="F33" s="60"/>
    </row>
    <row r="34" spans="1:6" ht="15.75" hidden="1" thickBot="1" x14ac:dyDescent="0.3">
      <c r="A34" s="94"/>
      <c r="B34" s="59"/>
      <c r="C34" s="59"/>
      <c r="D34" s="59"/>
      <c r="E34" s="59"/>
      <c r="F34" s="60"/>
    </row>
    <row r="35" spans="1:6" ht="15.75" hidden="1" thickBot="1" x14ac:dyDescent="0.3">
      <c r="A35" s="94"/>
      <c r="B35" s="59"/>
      <c r="C35" s="59"/>
      <c r="D35" s="59"/>
      <c r="E35" s="59"/>
      <c r="F35" s="60"/>
    </row>
  </sheetData>
  <sheetProtection password="C7AB" sheet="1" objects="1" scenarios="1"/>
  <mergeCells count="2">
    <mergeCell ref="A1:F1"/>
    <mergeCell ref="B4:D4"/>
  </mergeCells>
  <dataValidations xWindow="690" yWindow="303" count="3">
    <dataValidation allowBlank="1" showInputMessage="1" showErrorMessage="1" prompt="Ex: Enter 8.8 for 8.8%" sqref="E10"/>
    <dataValidation allowBlank="1" showInputMessage="1" showErrorMessage="1" errorTitle="Settlement Date Error" error="Settlement Date have to be within 3 Months of Futures Expiry" sqref="E6"/>
    <dataValidation allowBlank="1" showInputMessage="1" showErrorMessage="1" error="Futures Settlement Date have to be within 3 Months of Spot Settlement!" sqref="E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690" yWindow="303" count="2">
        <x14:dataValidation type="list" allowBlank="1" showInputMessage="1" showErrorMessage="1">
          <x14:formula1>
            <xm:f>'Futures Specs'!$G$3:$G$3</xm:f>
          </x14:formula1>
          <xm:sqref>B4:D4</xm:sqref>
        </x14:dataValidation>
        <x14:dataValidation type="list" allowBlank="1" showInputMessage="1" showErrorMessage="1">
          <x14:formula1>
            <xm:f>IF(LEFT($B$4,2)*1=91,'Futures Specs'!$B$1,'Futures Specs'!$C$1:$D$1)</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sheetPr>
  <dimension ref="A1:XFD35"/>
  <sheetViews>
    <sheetView showGridLines="0" zoomScale="85" zoomScaleNormal="85" workbookViewId="0">
      <selection activeCell="B6" sqref="B6"/>
    </sheetView>
  </sheetViews>
  <sheetFormatPr defaultColWidth="0" defaultRowHeight="15" customHeight="1" zeroHeight="1" x14ac:dyDescent="0.25"/>
  <cols>
    <col min="1" max="1" width="23.140625" bestFit="1" customWidth="1"/>
    <col min="2" max="2" width="24.140625" customWidth="1"/>
    <col min="3" max="3" width="10" bestFit="1" customWidth="1"/>
    <col min="4" max="4" width="20.5703125" bestFit="1" customWidth="1"/>
    <col min="5" max="5" width="14.28515625" bestFit="1" customWidth="1"/>
    <col min="6" max="6" width="16.7109375" customWidth="1"/>
    <col min="7" max="7" width="23.140625" hidden="1"/>
    <col min="8" max="8" width="20.140625" hidden="1"/>
    <col min="9" max="9" width="13.7109375" hidden="1"/>
    <col min="10" max="10" width="8.140625" hidden="1"/>
    <col min="11" max="11" width="12.42578125" hidden="1"/>
    <col min="12" max="12" width="10.140625" hidden="1"/>
    <col min="13" max="13" width="22.7109375" hidden="1"/>
    <col min="14" max="14" width="10.5703125" hidden="1"/>
    <col min="15" max="15" width="5.7109375" hidden="1"/>
    <col min="16" max="16" width="6.140625" hidden="1"/>
    <col min="17" max="17" width="12.42578125" hidden="1"/>
    <col min="18" max="18" width="9.140625" hidden="1"/>
    <col min="19" max="19" width="22.7109375" hidden="1"/>
    <col min="20" max="20" width="10.5703125" hidden="1"/>
    <col min="21" max="21" width="5.7109375" hidden="1"/>
    <col min="22" max="22" width="6.140625" hidden="1"/>
    <col min="23" max="23" width="12.42578125" hidden="1"/>
    <col min="24" max="16383" width="9.140625" hidden="1"/>
    <col min="16384" max="16384" width="12" hidden="1"/>
  </cols>
  <sheetData>
    <row r="1" spans="1:13 16384:16384" ht="17.25" x14ac:dyDescent="0.3">
      <c r="A1" s="104" t="s">
        <v>1</v>
      </c>
      <c r="B1" s="104"/>
      <c r="C1" s="104"/>
      <c r="D1" s="104"/>
      <c r="E1" s="104"/>
      <c r="F1" s="104"/>
    </row>
    <row r="2" spans="1:13 16384:16384" ht="15.75" x14ac:dyDescent="0.25">
      <c r="A2" s="4"/>
      <c r="B2" s="4"/>
      <c r="C2" s="4"/>
      <c r="D2" s="4"/>
      <c r="E2" s="4"/>
      <c r="F2" s="4"/>
    </row>
    <row r="3" spans="1:13 16384:16384" ht="19.5" thickBot="1" x14ac:dyDescent="0.35">
      <c r="A3" s="5" t="s">
        <v>2</v>
      </c>
      <c r="B3" s="6"/>
      <c r="C3" s="4"/>
      <c r="D3" s="4"/>
      <c r="E3" s="4"/>
      <c r="F3" s="4"/>
      <c r="G3" s="4"/>
      <c r="H3" s="28"/>
      <c r="I3" s="4"/>
      <c r="J3" s="4" t="s">
        <v>34</v>
      </c>
      <c r="K3" s="4"/>
      <c r="L3" s="79"/>
      <c r="M3" s="79"/>
    </row>
    <row r="4" spans="1:13 16384:16384" ht="16.5" thickBot="1" x14ac:dyDescent="0.3">
      <c r="A4" s="4" t="s">
        <v>3</v>
      </c>
      <c r="B4" s="105" t="s">
        <v>4</v>
      </c>
      <c r="C4" s="106"/>
      <c r="D4" s="107"/>
      <c r="E4" s="7" t="str">
        <f>IFERROR(INDEX('[1]Futures Specs'!$K$1:$Q$18,MATCH(B4,'[1]Futures Specs'!$K$1:$K$15,0)+2,2),"")</f>
        <v/>
      </c>
      <c r="F4" s="7"/>
      <c r="G4" s="7"/>
      <c r="H4" s="29"/>
      <c r="I4" s="7"/>
      <c r="J4" s="7"/>
      <c r="K4" s="7"/>
      <c r="L4" s="79"/>
      <c r="M4" s="79"/>
    </row>
    <row r="5" spans="1:13 16384:16384" ht="15.75" thickBot="1" x14ac:dyDescent="0.3">
      <c r="A5" s="7"/>
      <c r="B5" s="7"/>
      <c r="C5" s="7"/>
      <c r="D5" s="7"/>
      <c r="E5" s="7"/>
      <c r="F5" s="7"/>
      <c r="G5" s="7"/>
      <c r="H5" s="7"/>
      <c r="I5" s="7"/>
      <c r="J5" s="7"/>
      <c r="K5" s="7"/>
      <c r="L5" s="79"/>
      <c r="M5" s="79"/>
    </row>
    <row r="6" spans="1:13 16384:16384" ht="16.5" thickBot="1" x14ac:dyDescent="0.3">
      <c r="A6" s="4" t="s">
        <v>5</v>
      </c>
      <c r="B6" s="8" t="s">
        <v>100</v>
      </c>
      <c r="C6" s="4"/>
      <c r="D6" s="4" t="s">
        <v>9</v>
      </c>
      <c r="E6" s="9"/>
      <c r="F6" s="4"/>
      <c r="G6" s="4"/>
      <c r="H6" s="54" t="s">
        <v>35</v>
      </c>
      <c r="I6" s="54">
        <v>365</v>
      </c>
      <c r="J6" s="54">
        <v>360</v>
      </c>
      <c r="K6" s="54" t="s">
        <v>36</v>
      </c>
      <c r="L6" s="54" t="s">
        <v>97</v>
      </c>
      <c r="M6" s="79"/>
    </row>
    <row r="7" spans="1:13 16384:16384" ht="16.5" thickBot="1" x14ac:dyDescent="0.3">
      <c r="A7" s="4"/>
      <c r="B7" s="4"/>
      <c r="C7" s="4"/>
      <c r="D7" s="10" t="s">
        <v>10</v>
      </c>
      <c r="E7" s="4"/>
      <c r="F7" s="4"/>
      <c r="G7" s="4"/>
      <c r="H7" s="30"/>
      <c r="I7" s="4"/>
      <c r="J7" s="4"/>
      <c r="K7" s="4"/>
      <c r="L7" s="79"/>
      <c r="M7" s="79"/>
    </row>
    <row r="8" spans="1:13 16384:16384" ht="16.5" thickBot="1" x14ac:dyDescent="0.3">
      <c r="A8" s="4" t="s">
        <v>6</v>
      </c>
      <c r="B8" s="11">
        <f>IFERROR(IF(LEFT(B6,2)*1=91,0,LEFT(B6,4)*1),"")</f>
        <v>8.4</v>
      </c>
      <c r="C8" s="4"/>
      <c r="D8" s="4" t="s">
        <v>11</v>
      </c>
      <c r="E8" s="9"/>
      <c r="F8" s="4"/>
      <c r="G8" s="30" t="s">
        <v>37</v>
      </c>
      <c r="H8" s="30">
        <f>COUPPCD(E6,B10,2,4)</f>
        <v>0</v>
      </c>
      <c r="I8" s="4">
        <f>COUPDAYBS(E6,$B$10,2,4)</f>
        <v>0</v>
      </c>
      <c r="J8" s="31">
        <f>COUPDAYBS(E8,$B$10,2,4)</f>
        <v>0</v>
      </c>
      <c r="K8" s="4">
        <f>IF(DAYS360(H8,E6)=0,180,COUPDAYBS(E6,$B$10,2,4))</f>
        <v>180</v>
      </c>
      <c r="L8" s="80" t="e">
        <f>WORKDAY(H8-1,1,[1]Holidays!$A$1:$A$220)</f>
        <v>#NUM!</v>
      </c>
      <c r="M8" s="79"/>
    </row>
    <row r="9" spans="1:13 16384:16384" ht="16.5" thickBot="1" x14ac:dyDescent="0.3">
      <c r="A9" s="4"/>
      <c r="B9" s="4"/>
      <c r="C9" s="4"/>
      <c r="D9" s="10" t="s">
        <v>10</v>
      </c>
      <c r="E9" s="4"/>
      <c r="F9" s="4"/>
      <c r="G9" s="32" t="s">
        <v>38</v>
      </c>
      <c r="H9" s="30">
        <f>COUPNCD(E6,B10,2,4)</f>
        <v>28</v>
      </c>
      <c r="I9" s="4">
        <f>COUPDAYBS(E8,$B$10,2,4)</f>
        <v>0</v>
      </c>
      <c r="J9" s="4">
        <f>E8-L9</f>
        <v>-30</v>
      </c>
      <c r="K9" s="4"/>
      <c r="L9" s="80">
        <f>WORKDAY(H9-1,1,[1]Holidays!$A$1:$A$220)</f>
        <v>30</v>
      </c>
      <c r="M9" s="79"/>
    </row>
    <row r="10" spans="1:13 16384:16384" ht="16.5" thickBot="1" x14ac:dyDescent="0.3">
      <c r="A10" s="4" t="s">
        <v>7</v>
      </c>
      <c r="B10" s="12">
        <f>IFERROR(HLOOKUP(B6,'Futures Specs'!$A$1:$D$5,5,0),"")</f>
        <v>45501</v>
      </c>
      <c r="C10" s="4"/>
      <c r="D10" s="4" t="s">
        <v>12</v>
      </c>
      <c r="E10" s="13"/>
      <c r="F10" s="4"/>
      <c r="G10" s="4" t="s">
        <v>39</v>
      </c>
      <c r="H10" s="4"/>
      <c r="I10" s="4">
        <f>(E8-E6)</f>
        <v>0</v>
      </c>
      <c r="J10" s="4"/>
      <c r="K10" s="4"/>
      <c r="L10" s="79"/>
      <c r="M10" s="79"/>
    </row>
    <row r="11" spans="1:13 16384:16384" ht="16.5" thickBot="1" x14ac:dyDescent="0.3">
      <c r="A11" s="4"/>
      <c r="B11" s="4"/>
      <c r="C11" s="4"/>
      <c r="D11" s="4"/>
      <c r="E11" s="4"/>
      <c r="F11" s="4"/>
      <c r="G11" s="4"/>
      <c r="H11" s="33"/>
      <c r="I11" s="4"/>
      <c r="J11" s="4"/>
      <c r="K11" s="34"/>
      <c r="L11" s="79"/>
      <c r="M11" s="79"/>
    </row>
    <row r="12" spans="1:13 16384:16384" ht="6" customHeight="1" thickBot="1" x14ac:dyDescent="0.3">
      <c r="A12" s="4"/>
      <c r="B12" s="102"/>
      <c r="C12" s="4"/>
      <c r="D12" s="15"/>
      <c r="E12" s="15"/>
      <c r="F12" s="4"/>
      <c r="G12" s="35" t="e">
        <f>IF(E6=H8,(G15+(B8*K8/J6))*EXP(E10%*I10/I6),(G15+(B8*I8/J6))*EXP(E10%*I10/I6))</f>
        <v>#VALUE!</v>
      </c>
      <c r="H12" s="35">
        <f>IF(H8=E6,(B8/2)*EXP(E10%*I10/I6),IF(J9&lt;0,0,((B8/2)*EXP(E10%*J9/I6))))</f>
        <v>4.2</v>
      </c>
      <c r="I12" s="4">
        <f>IF(E6=H8,(B8*J8/J6),(IF(H12=0,+(B8*J8/J6),(B8*I9/J6))))</f>
        <v>0</v>
      </c>
      <c r="J12" s="4"/>
      <c r="K12" s="4"/>
      <c r="L12" s="79"/>
      <c r="M12" s="79"/>
    </row>
    <row r="13" spans="1:13 16384:16384" ht="19.5" thickBot="1" x14ac:dyDescent="0.35">
      <c r="A13" s="5" t="s">
        <v>2</v>
      </c>
      <c r="B13" s="4" t="s">
        <v>8</v>
      </c>
      <c r="C13" s="14"/>
      <c r="D13" s="52"/>
      <c r="E13" s="100"/>
      <c r="F13" s="101"/>
      <c r="G13" s="37" t="s">
        <v>40</v>
      </c>
      <c r="H13" s="38" t="s">
        <v>41</v>
      </c>
      <c r="I13" s="39" t="s">
        <v>42</v>
      </c>
      <c r="J13" s="4"/>
      <c r="K13" s="4"/>
      <c r="L13" s="79"/>
      <c r="M13" s="79"/>
    </row>
    <row r="14" spans="1:13 16384:16384" ht="19.5" thickBot="1" x14ac:dyDescent="0.35">
      <c r="A14" s="5" t="s">
        <v>13</v>
      </c>
      <c r="B14" s="6"/>
      <c r="C14" s="7"/>
      <c r="D14" s="15"/>
      <c r="E14" s="15"/>
      <c r="F14" s="4"/>
      <c r="G14" s="35" t="e">
        <f>G12-H12-I12</f>
        <v>#VALUE!</v>
      </c>
      <c r="H14" s="31"/>
      <c r="I14" s="4"/>
      <c r="J14" s="4"/>
      <c r="K14" s="4"/>
      <c r="L14" s="79"/>
      <c r="M14" s="79"/>
      <c r="XFD14" s="58"/>
    </row>
    <row r="15" spans="1:13 16384:16384" ht="16.5" thickBot="1" x14ac:dyDescent="0.3">
      <c r="A15" s="4" t="s">
        <v>104</v>
      </c>
      <c r="B15" s="11" t="str">
        <f>IFERROR(YIELD(E6,B10,B8%,C13,100,2,4)*100,"")</f>
        <v/>
      </c>
      <c r="C15" s="7"/>
      <c r="D15" s="15"/>
      <c r="E15" s="15"/>
      <c r="F15" s="4"/>
      <c r="G15" s="36" t="str">
        <f>IF(ISBLANK(C13),B21,C13)</f>
        <v/>
      </c>
      <c r="H15" s="52"/>
      <c r="I15" s="52"/>
      <c r="J15" s="52"/>
      <c r="K15" s="52"/>
      <c r="L15" s="52"/>
      <c r="M15" s="52"/>
    </row>
    <row r="16" spans="1:13 16384:16384" ht="16.5" thickBot="1" x14ac:dyDescent="0.3">
      <c r="A16" s="4" t="s">
        <v>14</v>
      </c>
      <c r="B16" s="16" t="str">
        <f>IF(OR(ISBLANK(B6),ISBLANK(C13)),"",IFERROR(IF(LEFT(B6,2)*1=91,"Not Available",(MROUND(G14,0.0025))),"Invalid Input"))</f>
        <v/>
      </c>
      <c r="C16" s="7"/>
      <c r="D16" s="4" t="s">
        <v>101</v>
      </c>
      <c r="E16" s="11" t="str">
        <f>IFERROR(YIELD(E8,B10,B8%,B16,100,2,4)*100,"")</f>
        <v/>
      </c>
      <c r="F16" s="4"/>
      <c r="G16" s="52"/>
      <c r="H16" s="52"/>
      <c r="I16" s="52"/>
      <c r="J16" s="52"/>
      <c r="K16" s="52"/>
      <c r="L16" s="52"/>
      <c r="M16" s="52"/>
    </row>
    <row r="17" spans="1:23" ht="15.75" x14ac:dyDescent="0.25">
      <c r="A17" s="88" t="s">
        <v>105</v>
      </c>
      <c r="B17" s="4"/>
      <c r="C17" s="4"/>
      <c r="D17" s="88"/>
      <c r="E17" s="4"/>
      <c r="F17" s="4"/>
      <c r="G17" s="52"/>
      <c r="H17" s="52"/>
      <c r="I17" s="52"/>
      <c r="J17" s="52"/>
      <c r="K17" s="52"/>
      <c r="L17" s="52"/>
      <c r="M17" s="52"/>
    </row>
    <row r="18" spans="1:23" ht="3.75" customHeight="1" thickBot="1" x14ac:dyDescent="0.3">
      <c r="A18" s="96"/>
      <c r="B18" s="97"/>
      <c r="C18" s="97"/>
      <c r="D18" s="97"/>
      <c r="E18" s="97"/>
      <c r="F18" s="98"/>
      <c r="G18" s="52"/>
      <c r="H18" s="52"/>
      <c r="I18" s="52"/>
      <c r="J18" s="52"/>
      <c r="K18" s="52"/>
      <c r="L18" s="52"/>
      <c r="M18" s="52"/>
      <c r="P18" s="79"/>
    </row>
    <row r="19" spans="1:23" ht="19.5" thickBot="1" x14ac:dyDescent="0.35">
      <c r="A19" s="5" t="s">
        <v>2</v>
      </c>
      <c r="B19" s="4" t="s">
        <v>102</v>
      </c>
      <c r="C19" s="93"/>
      <c r="D19" s="59"/>
      <c r="E19" s="59"/>
      <c r="F19" s="60"/>
      <c r="G19" s="52"/>
      <c r="H19" s="52"/>
      <c r="I19" s="52"/>
      <c r="J19" s="52"/>
      <c r="K19" s="52"/>
      <c r="L19" s="52"/>
      <c r="M19" s="52"/>
    </row>
    <row r="20" spans="1:23" ht="19.5" thickBot="1" x14ac:dyDescent="0.35">
      <c r="A20" s="5" t="s">
        <v>13</v>
      </c>
      <c r="B20" s="6"/>
      <c r="C20" s="7"/>
      <c r="D20" s="15"/>
      <c r="E20" s="15"/>
      <c r="F20" s="60"/>
      <c r="G20" s="52"/>
      <c r="H20" s="52"/>
      <c r="I20" s="52"/>
      <c r="J20" s="52"/>
      <c r="K20" s="52"/>
      <c r="L20" s="52"/>
      <c r="M20" s="52"/>
    </row>
    <row r="21" spans="1:23" s="53" customFormat="1" ht="16.5" thickBot="1" x14ac:dyDescent="0.3">
      <c r="A21" s="4" t="s">
        <v>103</v>
      </c>
      <c r="B21" s="16" t="str">
        <f>IF(OR(ISBLANK(B6),ISBLANK(C19)),"",(MROUND(PRICE(E6,B10,B8%,C19%,100,2,4),0.0025)))</f>
        <v/>
      </c>
      <c r="C21" s="7"/>
      <c r="D21" s="15"/>
      <c r="E21" s="15"/>
      <c r="F21" s="60"/>
      <c r="G21" s="52"/>
      <c r="H21" s="52"/>
      <c r="I21" s="52"/>
      <c r="J21" s="52"/>
      <c r="K21" s="52"/>
      <c r="M21" s="52"/>
      <c r="N21" s="52"/>
      <c r="O21" s="52"/>
      <c r="P21" s="52"/>
      <c r="Q21" s="52"/>
      <c r="S21" s="52"/>
      <c r="T21" s="52"/>
      <c r="U21" s="52"/>
      <c r="V21" s="52"/>
      <c r="W21" s="52"/>
    </row>
    <row r="22" spans="1:23" s="53" customFormat="1" ht="16.5" thickBot="1" x14ac:dyDescent="0.3">
      <c r="A22" s="4" t="s">
        <v>14</v>
      </c>
      <c r="B22" s="16" t="str">
        <f>IF(OR(ISBLANK(B6),ISBLANK(C19)),"",IFERROR(IF(LEFT(B6,2)*1=91,"Not Available",(MROUND(G14,0.0025))),"Invalid Input"))</f>
        <v/>
      </c>
      <c r="C22" s="7"/>
      <c r="D22" s="4" t="s">
        <v>101</v>
      </c>
      <c r="E22" s="11" t="str">
        <f>IFERROR(YIELD(E8,B10,B8%,B22,100,2,4)*100,"")</f>
        <v/>
      </c>
      <c r="F22" s="60"/>
      <c r="G22" s="4"/>
      <c r="H22" s="30"/>
      <c r="I22" s="4"/>
      <c r="J22" s="4"/>
      <c r="K22" s="52"/>
      <c r="M22" s="4"/>
      <c r="N22" s="30"/>
      <c r="O22" s="4"/>
      <c r="P22" s="4"/>
      <c r="Q22" s="52"/>
      <c r="S22" s="4"/>
      <c r="T22" s="30"/>
      <c r="U22" s="4"/>
      <c r="V22" s="4"/>
      <c r="W22" s="52"/>
    </row>
    <row r="23" spans="1:23" ht="16.5" thickBot="1" x14ac:dyDescent="0.3">
      <c r="A23" s="88" t="s">
        <v>105</v>
      </c>
      <c r="B23" s="4"/>
      <c r="C23" s="4"/>
      <c r="D23" s="88"/>
      <c r="E23" s="4"/>
      <c r="F23" s="60"/>
      <c r="G23" s="4"/>
      <c r="H23" s="54"/>
      <c r="I23" s="54"/>
      <c r="J23" s="54"/>
      <c r="K23" s="54"/>
      <c r="M23" s="4"/>
      <c r="N23" s="54"/>
      <c r="O23" s="54"/>
      <c r="P23" s="54"/>
      <c r="Q23" s="54"/>
      <c r="S23" s="4"/>
      <c r="T23" s="54"/>
      <c r="U23" s="54"/>
      <c r="V23" s="54"/>
      <c r="W23" s="54"/>
    </row>
    <row r="24" spans="1:23" ht="15.75" hidden="1" x14ac:dyDescent="0.25">
      <c r="A24" s="52"/>
      <c r="B24" s="52"/>
      <c r="C24" s="52"/>
      <c r="D24" s="52"/>
      <c r="E24" s="52"/>
      <c r="F24" s="52"/>
      <c r="G24" s="54"/>
      <c r="H24" s="55"/>
      <c r="I24" s="4"/>
      <c r="J24" s="4"/>
      <c r="K24" s="4"/>
      <c r="M24" s="54"/>
      <c r="N24" s="55"/>
      <c r="O24" s="4"/>
      <c r="P24" s="4"/>
      <c r="Q24" s="4"/>
      <c r="S24" s="54"/>
      <c r="T24" s="55"/>
      <c r="U24" s="4"/>
      <c r="V24" s="4"/>
      <c r="W24" s="4"/>
    </row>
    <row r="25" spans="1:23" ht="15.75" hidden="1" x14ac:dyDescent="0.25">
      <c r="A25" s="52"/>
      <c r="B25" s="52"/>
      <c r="C25" s="52"/>
      <c r="D25" s="52"/>
      <c r="E25" s="52"/>
      <c r="F25" s="52"/>
      <c r="G25" s="30"/>
      <c r="H25" s="30"/>
      <c r="I25" s="4"/>
      <c r="J25" s="31"/>
      <c r="K25" s="4"/>
      <c r="M25" s="30"/>
      <c r="N25" s="30"/>
      <c r="O25" s="4"/>
      <c r="P25" s="31"/>
      <c r="Q25" s="4"/>
      <c r="S25" s="30"/>
      <c r="T25" s="30"/>
      <c r="U25" s="4"/>
      <c r="V25" s="31"/>
      <c r="W25" s="4"/>
    </row>
    <row r="26" spans="1:23" ht="15.75" hidden="1" x14ac:dyDescent="0.25">
      <c r="A26" s="52"/>
      <c r="B26" s="52"/>
      <c r="C26" s="52"/>
      <c r="D26" s="52"/>
      <c r="E26" s="52"/>
      <c r="F26" s="52"/>
      <c r="G26" s="32"/>
      <c r="H26" s="30"/>
      <c r="I26" s="4"/>
      <c r="J26" s="4"/>
      <c r="K26" s="4"/>
      <c r="M26" s="32"/>
      <c r="N26" s="30"/>
      <c r="O26" s="4"/>
      <c r="P26" s="4"/>
      <c r="Q26" s="4"/>
      <c r="S26" s="32"/>
      <c r="T26" s="30"/>
      <c r="U26" s="4"/>
      <c r="V26" s="4"/>
      <c r="W26" s="4"/>
    </row>
    <row r="27" spans="1:23" ht="15.75" hidden="1" x14ac:dyDescent="0.25">
      <c r="A27" s="52"/>
      <c r="B27" s="52"/>
      <c r="C27" s="52"/>
      <c r="D27" s="52"/>
      <c r="E27" s="52"/>
      <c r="F27" s="52"/>
      <c r="G27" s="4"/>
      <c r="H27" s="4"/>
      <c r="I27" s="4"/>
      <c r="J27" s="4"/>
      <c r="K27" s="4"/>
      <c r="M27" s="4"/>
      <c r="N27" s="4"/>
      <c r="O27" s="4"/>
      <c r="P27" s="4"/>
      <c r="Q27" s="4"/>
      <c r="S27" s="4"/>
      <c r="T27" s="4"/>
      <c r="U27" s="4"/>
      <c r="V27" s="4"/>
      <c r="W27" s="4"/>
    </row>
    <row r="28" spans="1:23" ht="15.75" hidden="1" x14ac:dyDescent="0.25">
      <c r="A28" s="52"/>
      <c r="B28" s="52"/>
      <c r="C28" s="52"/>
      <c r="D28" s="52"/>
      <c r="E28" s="52"/>
      <c r="F28" s="52"/>
      <c r="G28" s="4"/>
      <c r="H28" s="33"/>
      <c r="I28" s="4"/>
      <c r="J28" s="4"/>
      <c r="K28" s="34"/>
      <c r="M28" s="4"/>
      <c r="N28" s="33"/>
      <c r="O28" s="4"/>
      <c r="P28" s="4"/>
      <c r="Q28" s="34"/>
      <c r="S28" s="4"/>
      <c r="T28" s="33"/>
      <c r="U28" s="4"/>
      <c r="V28" s="4"/>
      <c r="W28" s="34"/>
    </row>
    <row r="29" spans="1:23" ht="15.75" hidden="1" x14ac:dyDescent="0.25">
      <c r="A29" s="52"/>
      <c r="B29" s="52"/>
      <c r="C29" s="52"/>
      <c r="D29" s="52"/>
      <c r="E29" s="52"/>
      <c r="F29" s="52"/>
      <c r="G29" s="35"/>
      <c r="H29" s="36"/>
      <c r="I29" s="4"/>
      <c r="J29" s="4"/>
      <c r="K29" s="4"/>
      <c r="M29" s="35"/>
      <c r="N29" s="36"/>
      <c r="O29" s="4"/>
      <c r="P29" s="4"/>
      <c r="Q29" s="4"/>
      <c r="S29" s="35"/>
      <c r="T29" s="36"/>
      <c r="U29" s="4"/>
      <c r="V29" s="4"/>
      <c r="W29" s="4"/>
    </row>
    <row r="30" spans="1:23" s="53" customFormat="1" hidden="1" x14ac:dyDescent="0.25">
      <c r="A30" s="52"/>
      <c r="B30" s="52"/>
      <c r="C30" s="52"/>
      <c r="D30" s="52"/>
      <c r="E30" s="52"/>
      <c r="F30" s="52"/>
      <c r="G30" s="52"/>
      <c r="H30" s="52"/>
      <c r="I30" s="52"/>
      <c r="J30" s="52"/>
      <c r="K30" s="52"/>
      <c r="M30" s="52"/>
      <c r="N30" s="52"/>
      <c r="O30" s="52"/>
      <c r="P30" s="52"/>
      <c r="Q30" s="52"/>
      <c r="S30" s="52"/>
      <c r="T30" s="52"/>
      <c r="U30" s="52"/>
      <c r="V30" s="52"/>
      <c r="W30" s="52"/>
    </row>
    <row r="31" spans="1:23" s="53" customFormat="1" hidden="1" x14ac:dyDescent="0.25">
      <c r="A31" s="52"/>
      <c r="B31" s="52"/>
      <c r="C31" s="52"/>
      <c r="D31" s="52"/>
      <c r="E31" s="52"/>
      <c r="F31" s="52"/>
      <c r="G31" s="56"/>
      <c r="H31" s="57"/>
      <c r="I31" s="52"/>
      <c r="J31" s="52"/>
      <c r="K31" s="52"/>
      <c r="M31" s="56"/>
      <c r="N31" s="57"/>
      <c r="O31" s="52"/>
      <c r="P31" s="52"/>
      <c r="Q31" s="52"/>
      <c r="S31" s="56"/>
      <c r="T31" s="57"/>
      <c r="U31" s="52"/>
      <c r="V31" s="52"/>
      <c r="W31" s="52"/>
    </row>
    <row r="32" spans="1:23" s="53" customFormat="1" ht="18" hidden="1" customHeight="1" x14ac:dyDescent="0.25">
      <c r="A32" s="52"/>
      <c r="B32" s="52"/>
      <c r="C32" s="52"/>
      <c r="D32" s="52"/>
      <c r="E32" s="52"/>
      <c r="F32" s="52"/>
      <c r="G32" s="56"/>
      <c r="H32" s="57"/>
      <c r="I32" s="52"/>
      <c r="J32" s="52"/>
      <c r="K32" s="52"/>
      <c r="M32" s="56"/>
      <c r="N32" s="57"/>
      <c r="O32" s="52"/>
      <c r="P32" s="52"/>
      <c r="Q32" s="52"/>
      <c r="S32" s="56"/>
      <c r="T32" s="57"/>
      <c r="U32" s="52"/>
      <c r="V32" s="52"/>
      <c r="W32" s="52"/>
    </row>
    <row r="33" spans="1:11" hidden="1" x14ac:dyDescent="0.25">
      <c r="A33" s="52"/>
      <c r="B33" s="52"/>
      <c r="C33" s="52"/>
      <c r="D33" s="52"/>
      <c r="E33" s="52"/>
      <c r="F33" s="52"/>
      <c r="G33" s="52"/>
      <c r="H33" s="52"/>
      <c r="I33" s="52"/>
      <c r="J33" s="52"/>
      <c r="K33" s="52"/>
    </row>
    <row r="34" spans="1:11" hidden="1" x14ac:dyDescent="0.25">
      <c r="A34" s="52"/>
      <c r="B34" s="52"/>
      <c r="C34" s="52"/>
      <c r="D34" s="52"/>
      <c r="E34" s="52"/>
      <c r="F34" s="52"/>
      <c r="G34" s="53"/>
      <c r="H34" s="53"/>
      <c r="I34" s="53"/>
      <c r="J34" s="53"/>
      <c r="K34" s="53"/>
    </row>
    <row r="35" spans="1:11" hidden="1" x14ac:dyDescent="0.25">
      <c r="A35" s="52"/>
      <c r="B35" s="52"/>
      <c r="C35" s="52"/>
      <c r="D35" s="52"/>
      <c r="E35" s="52"/>
      <c r="F35" s="52"/>
      <c r="G35" s="53"/>
      <c r="H35" s="53"/>
      <c r="I35" s="53"/>
      <c r="J35" s="53"/>
      <c r="K35" s="53"/>
    </row>
  </sheetData>
  <sheetProtection password="C7AB" sheet="1" objects="1" scenarios="1"/>
  <mergeCells count="2">
    <mergeCell ref="A1:F1"/>
    <mergeCell ref="B4:D4"/>
  </mergeCells>
  <dataValidations count="3">
    <dataValidation type="date" allowBlank="1" showInputMessage="1" showErrorMessage="1" error="Futures Settlement Date have to be within 3 Months of Spot Settlement!" sqref="E8">
      <formula1>E6</formula1>
      <formula2>E6+90+1</formula2>
    </dataValidation>
    <dataValidation allowBlank="1" showInputMessage="1" showErrorMessage="1" errorTitle="Settlement Date Error" error="Settlement Date have to be within 3 Months of Futures Expiry" sqref="E6"/>
    <dataValidation allowBlank="1" showInputMessage="1" showErrorMessage="1" prompt="Ex: Enter 8.8 for 8.8%" sqref="E1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'[1]Futures Specs'!#REF!</xm:f>
          </x14:formula1>
          <xm:sqref>B4:D4</xm:sqref>
        </x14:dataValidation>
        <x14:dataValidation type="list" allowBlank="1" showInputMessage="1" showErrorMessage="1">
          <x14:formula1>
            <xm:f>IF(LEFT($B$4,2)*1=91,'Futures Specs'!$B$1,'Futures Specs'!$C$1:$D$1)</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4"/>
  <sheetViews>
    <sheetView showGridLines="0" workbookViewId="0"/>
  </sheetViews>
  <sheetFormatPr defaultRowHeight="15" x14ac:dyDescent="0.25"/>
  <cols>
    <col min="3" max="4" width="22.85546875" bestFit="1" customWidth="1"/>
    <col min="5" max="5" width="27" bestFit="1" customWidth="1"/>
    <col min="9" max="9" width="20.85546875" bestFit="1" customWidth="1"/>
    <col min="10" max="10" width="9.7109375" bestFit="1" customWidth="1"/>
    <col min="11" max="11" width="13.140625" bestFit="1" customWidth="1"/>
    <col min="12" max="12" width="22.7109375" bestFit="1" customWidth="1"/>
    <col min="13" max="13" width="10.42578125" bestFit="1" customWidth="1"/>
  </cols>
  <sheetData>
    <row r="1" spans="1:16" x14ac:dyDescent="0.25">
      <c r="A1" s="17" t="s">
        <v>15</v>
      </c>
      <c r="B1" s="18" t="s">
        <v>16</v>
      </c>
      <c r="C1" s="17" t="s">
        <v>100</v>
      </c>
      <c r="D1" s="17" t="s">
        <v>100</v>
      </c>
      <c r="E1" s="19" t="s">
        <v>17</v>
      </c>
      <c r="G1" s="20" t="s">
        <v>18</v>
      </c>
      <c r="H1" s="20"/>
      <c r="I1" s="20" t="s">
        <v>19</v>
      </c>
      <c r="K1" s="17" t="s">
        <v>66</v>
      </c>
      <c r="L1" s="66" t="s">
        <v>73</v>
      </c>
      <c r="M1" s="78">
        <v>8.9700000000000006</v>
      </c>
      <c r="N1" s="68"/>
      <c r="O1" s="68"/>
      <c r="P1" s="68"/>
    </row>
    <row r="2" spans="1:16" x14ac:dyDescent="0.25">
      <c r="A2" s="21" t="s">
        <v>20</v>
      </c>
      <c r="B2" s="22">
        <v>0</v>
      </c>
      <c r="C2" s="22">
        <v>0</v>
      </c>
      <c r="D2" s="22">
        <v>0</v>
      </c>
      <c r="E2" s="2" t="s">
        <v>21</v>
      </c>
      <c r="G2" t="s">
        <v>22</v>
      </c>
      <c r="I2" s="3">
        <v>42061</v>
      </c>
      <c r="J2" s="3"/>
      <c r="K2" s="17" t="s">
        <v>31</v>
      </c>
      <c r="L2" s="17" t="s">
        <v>15</v>
      </c>
      <c r="M2" s="17" t="s">
        <v>67</v>
      </c>
      <c r="N2" s="17" t="s">
        <v>32</v>
      </c>
      <c r="O2" s="67" t="s">
        <v>74</v>
      </c>
      <c r="P2" s="67" t="s">
        <v>43</v>
      </c>
    </row>
    <row r="3" spans="1:16" x14ac:dyDescent="0.25">
      <c r="A3" s="2" t="s">
        <v>23</v>
      </c>
      <c r="B3" s="2">
        <v>0.25</v>
      </c>
      <c r="C3" s="23">
        <v>6.59</v>
      </c>
      <c r="D3" s="2">
        <v>6.89</v>
      </c>
      <c r="E3" s="2" t="s">
        <v>21</v>
      </c>
      <c r="G3" t="s">
        <v>4</v>
      </c>
      <c r="I3" s="3">
        <v>42089</v>
      </c>
      <c r="J3" s="3"/>
      <c r="K3" s="2" t="s">
        <v>33</v>
      </c>
      <c r="L3" s="2" t="s">
        <v>72</v>
      </c>
      <c r="M3" s="1">
        <v>45066</v>
      </c>
      <c r="N3" s="2">
        <v>7.16</v>
      </c>
      <c r="O3" s="2">
        <v>0.4</v>
      </c>
      <c r="P3" s="2"/>
    </row>
    <row r="4" spans="1:16" x14ac:dyDescent="0.25">
      <c r="A4" s="2" t="s">
        <v>24</v>
      </c>
      <c r="B4" s="24">
        <v>2000</v>
      </c>
      <c r="C4" s="24">
        <v>2000</v>
      </c>
      <c r="D4" s="24">
        <v>2000</v>
      </c>
      <c r="E4" s="2" t="s">
        <v>21</v>
      </c>
      <c r="G4" t="s">
        <v>66</v>
      </c>
      <c r="I4" s="3">
        <v>42124</v>
      </c>
      <c r="J4" s="3"/>
      <c r="K4" s="2" t="s">
        <v>69</v>
      </c>
      <c r="L4" s="2" t="s">
        <v>71</v>
      </c>
      <c r="M4" s="1">
        <v>45255</v>
      </c>
      <c r="N4" s="2">
        <v>8.83</v>
      </c>
      <c r="O4" s="2">
        <v>0.3</v>
      </c>
      <c r="P4" s="2"/>
    </row>
    <row r="5" spans="1:16" x14ac:dyDescent="0.25">
      <c r="A5" s="25" t="s">
        <v>25</v>
      </c>
      <c r="B5" s="25" t="s">
        <v>26</v>
      </c>
      <c r="C5" s="26">
        <v>45501</v>
      </c>
      <c r="D5" s="26">
        <v>45501</v>
      </c>
      <c r="E5" s="2" t="s">
        <v>27</v>
      </c>
      <c r="I5" s="3">
        <v>42152</v>
      </c>
      <c r="J5" s="3"/>
      <c r="K5" s="2" t="s">
        <v>68</v>
      </c>
      <c r="L5" s="51" t="s">
        <v>70</v>
      </c>
      <c r="M5" s="1">
        <v>45610</v>
      </c>
      <c r="N5" s="2">
        <v>9.15</v>
      </c>
      <c r="O5" s="2">
        <v>0.3</v>
      </c>
      <c r="P5" s="2"/>
    </row>
    <row r="6" spans="1:16" x14ac:dyDescent="0.25">
      <c r="A6" s="27" t="s">
        <v>28</v>
      </c>
      <c r="B6" s="22">
        <v>0</v>
      </c>
      <c r="C6" s="22">
        <v>90.793735993482841</v>
      </c>
      <c r="D6" s="22">
        <v>90.793735993482841</v>
      </c>
      <c r="E6" s="2" t="s">
        <v>29</v>
      </c>
      <c r="I6" s="3">
        <v>42180</v>
      </c>
      <c r="J6" s="3"/>
    </row>
    <row r="7" spans="1:16" x14ac:dyDescent="0.25">
      <c r="A7" s="27" t="s">
        <v>30</v>
      </c>
      <c r="B7" s="2"/>
      <c r="C7" s="22"/>
      <c r="D7" s="2"/>
      <c r="E7" s="2" t="s">
        <v>29</v>
      </c>
      <c r="I7" s="3">
        <v>42215</v>
      </c>
      <c r="J7" s="3"/>
    </row>
    <row r="8" spans="1:16" x14ac:dyDescent="0.25">
      <c r="A8" s="27" t="s">
        <v>31</v>
      </c>
      <c r="B8" s="2"/>
      <c r="C8" s="2" t="s">
        <v>33</v>
      </c>
      <c r="D8" s="2" t="s">
        <v>69</v>
      </c>
      <c r="E8" s="2" t="s">
        <v>21</v>
      </c>
      <c r="I8" s="3"/>
      <c r="J8" s="3"/>
      <c r="K8" s="17" t="s">
        <v>87</v>
      </c>
      <c r="L8" s="66" t="s">
        <v>73</v>
      </c>
      <c r="M8" s="78">
        <v>9</v>
      </c>
      <c r="N8" s="68"/>
      <c r="O8" s="68"/>
      <c r="P8" s="68"/>
    </row>
    <row r="9" spans="1:16" x14ac:dyDescent="0.25">
      <c r="I9" s="3"/>
      <c r="J9" s="3"/>
      <c r="K9" s="17" t="s">
        <v>31</v>
      </c>
      <c r="L9" s="17" t="s">
        <v>15</v>
      </c>
      <c r="M9" s="17" t="s">
        <v>67</v>
      </c>
      <c r="N9" s="17" t="s">
        <v>32</v>
      </c>
      <c r="O9" s="67" t="s">
        <v>74</v>
      </c>
      <c r="P9" s="67" t="s">
        <v>43</v>
      </c>
    </row>
    <row r="10" spans="1:16" x14ac:dyDescent="0.25">
      <c r="I10" s="3"/>
      <c r="J10" s="3"/>
      <c r="K10" s="2" t="s">
        <v>33</v>
      </c>
      <c r="L10" s="2" t="s">
        <v>72</v>
      </c>
      <c r="M10" s="1">
        <v>48354</v>
      </c>
      <c r="N10" s="2">
        <v>7.16</v>
      </c>
      <c r="O10" s="2">
        <v>0.4</v>
      </c>
      <c r="P10" s="2"/>
    </row>
    <row r="11" spans="1:16" x14ac:dyDescent="0.25">
      <c r="I11" s="3"/>
      <c r="J11" s="3"/>
      <c r="K11" s="2" t="s">
        <v>69</v>
      </c>
      <c r="L11" s="2" t="s">
        <v>71</v>
      </c>
      <c r="M11" s="1">
        <v>48354</v>
      </c>
      <c r="N11" s="2">
        <v>8.83</v>
      </c>
      <c r="O11" s="2">
        <v>0.3</v>
      </c>
      <c r="P11" s="2"/>
    </row>
    <row r="12" spans="1:16" x14ac:dyDescent="0.25">
      <c r="I12" s="3"/>
      <c r="J12" s="3"/>
      <c r="K12" s="2" t="s">
        <v>68</v>
      </c>
      <c r="L12" s="51" t="s">
        <v>70</v>
      </c>
      <c r="M12" s="1">
        <v>48354</v>
      </c>
      <c r="N12" s="2">
        <v>9.15</v>
      </c>
      <c r="O12" s="2">
        <v>0.3</v>
      </c>
      <c r="P12" s="2"/>
    </row>
    <row r="13" spans="1:16" x14ac:dyDescent="0.25">
      <c r="I13" s="3"/>
      <c r="J13" s="3"/>
    </row>
    <row r="14" spans="1:16" x14ac:dyDescent="0.25">
      <c r="I14" s="3"/>
      <c r="J14" s="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3"/>
  <sheetViews>
    <sheetView showGridLines="0" workbookViewId="0"/>
  </sheetViews>
  <sheetFormatPr defaultRowHeight="15" x14ac:dyDescent="0.25"/>
  <cols>
    <col min="1" max="1" width="10.140625" bestFit="1" customWidth="1"/>
    <col min="2" max="2" width="37" bestFit="1" customWidth="1"/>
    <col min="4" max="4" width="10.7109375" customWidth="1"/>
    <col min="5" max="5" width="9.7109375" bestFit="1" customWidth="1"/>
  </cols>
  <sheetData>
    <row r="1" spans="1:5" x14ac:dyDescent="0.25">
      <c r="A1" s="1">
        <v>42030</v>
      </c>
      <c r="B1" s="2"/>
      <c r="D1" t="s">
        <v>0</v>
      </c>
      <c r="E1" s="3">
        <v>42041</v>
      </c>
    </row>
    <row r="2" spans="1:5" x14ac:dyDescent="0.25">
      <c r="A2" s="1">
        <v>42052</v>
      </c>
      <c r="B2" s="2"/>
    </row>
    <row r="3" spans="1:5" x14ac:dyDescent="0.25">
      <c r="A3" s="1">
        <v>42054</v>
      </c>
      <c r="B3" s="2"/>
    </row>
    <row r="4" spans="1:5" x14ac:dyDescent="0.25">
      <c r="A4" s="1">
        <v>42069</v>
      </c>
      <c r="B4" s="2"/>
    </row>
    <row r="5" spans="1:5" x14ac:dyDescent="0.25">
      <c r="A5" s="1">
        <v>42095</v>
      </c>
      <c r="B5" s="2"/>
    </row>
    <row r="6" spans="1:5" x14ac:dyDescent="0.25">
      <c r="A6" s="1">
        <v>42096</v>
      </c>
      <c r="B6" s="2"/>
    </row>
    <row r="7" spans="1:5" x14ac:dyDescent="0.25">
      <c r="A7" s="1">
        <v>42097</v>
      </c>
      <c r="B7" s="2"/>
    </row>
    <row r="8" spans="1:5" x14ac:dyDescent="0.25">
      <c r="A8" s="1">
        <v>42108</v>
      </c>
      <c r="B8" s="2"/>
    </row>
    <row r="9" spans="1:5" x14ac:dyDescent="0.25">
      <c r="A9" s="1">
        <v>42125</v>
      </c>
      <c r="B9" s="2"/>
    </row>
    <row r="10" spans="1:5" x14ac:dyDescent="0.25">
      <c r="A10" s="1">
        <v>42128</v>
      </c>
      <c r="B10" s="2"/>
    </row>
    <row r="11" spans="1:5" x14ac:dyDescent="0.25">
      <c r="A11" s="1">
        <v>42234</v>
      </c>
      <c r="B11" s="2"/>
    </row>
    <row r="12" spans="1:5" x14ac:dyDescent="0.25">
      <c r="A12" s="1">
        <v>42264</v>
      </c>
      <c r="B12" s="2"/>
    </row>
    <row r="13" spans="1:5" x14ac:dyDescent="0.25">
      <c r="A13" s="1">
        <v>42272</v>
      </c>
      <c r="B13" s="2"/>
    </row>
    <row r="14" spans="1:5" x14ac:dyDescent="0.25">
      <c r="A14" s="1">
        <v>42279</v>
      </c>
      <c r="B14" s="2"/>
    </row>
    <row r="15" spans="1:5" x14ac:dyDescent="0.25">
      <c r="A15" s="1">
        <v>42299</v>
      </c>
      <c r="B15" s="2"/>
    </row>
    <row r="16" spans="1:5" x14ac:dyDescent="0.25">
      <c r="A16" s="1">
        <v>42319</v>
      </c>
      <c r="B16" s="2"/>
    </row>
    <row r="17" spans="1:2" x14ac:dyDescent="0.25">
      <c r="A17" s="1">
        <v>42320</v>
      </c>
      <c r="B17" s="2"/>
    </row>
    <row r="18" spans="1:2" x14ac:dyDescent="0.25">
      <c r="A18" s="1">
        <v>42333</v>
      </c>
      <c r="B18" s="2"/>
    </row>
    <row r="19" spans="1:2" x14ac:dyDescent="0.25">
      <c r="A19" s="1">
        <v>42362</v>
      </c>
      <c r="B19" s="2"/>
    </row>
    <row r="20" spans="1:2" x14ac:dyDescent="0.25">
      <c r="A20" s="1">
        <v>42363</v>
      </c>
      <c r="B20" s="2"/>
    </row>
    <row r="21" spans="1:2" x14ac:dyDescent="0.25">
      <c r="A21" s="1"/>
      <c r="B21" s="2"/>
    </row>
    <row r="22" spans="1:2" x14ac:dyDescent="0.25">
      <c r="A22" s="1"/>
      <c r="B22" s="2"/>
    </row>
    <row r="23" spans="1:2" x14ac:dyDescent="0.25">
      <c r="A23" s="1"/>
      <c r="B23"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2"/>
  <sheetViews>
    <sheetView showGridLines="0" topLeftCell="A10" workbookViewId="0">
      <selection activeCell="G28" sqref="G28"/>
    </sheetView>
  </sheetViews>
  <sheetFormatPr defaultRowHeight="15" x14ac:dyDescent="0.25"/>
  <cols>
    <col min="1" max="1" width="23.42578125" customWidth="1"/>
    <col min="2" max="2" width="13.140625" customWidth="1"/>
    <col min="3" max="3" width="14.28515625" customWidth="1"/>
    <col min="4" max="4" width="7.85546875" customWidth="1"/>
    <col min="5" max="5" width="14.85546875" customWidth="1"/>
    <col min="6" max="6" width="11.140625" bestFit="1" customWidth="1"/>
    <col min="7" max="7" width="18.140625" customWidth="1"/>
    <col min="8" max="8" width="11" bestFit="1" customWidth="1"/>
    <col min="9" max="9" width="8.28515625" bestFit="1" customWidth="1"/>
    <col min="11" max="11" width="11.5703125" customWidth="1"/>
  </cols>
  <sheetData>
    <row r="1" spans="1:12" x14ac:dyDescent="0.25">
      <c r="A1" s="61" t="s">
        <v>75</v>
      </c>
      <c r="B1" s="61"/>
      <c r="C1" s="65" t="e">
        <f>#REF!</f>
        <v>#REF!</v>
      </c>
    </row>
    <row r="2" spans="1:12" x14ac:dyDescent="0.25">
      <c r="A2" s="61" t="s">
        <v>11</v>
      </c>
      <c r="B2" s="61"/>
      <c r="C2" s="65" t="e">
        <f>#REF!</f>
        <v>#REF!</v>
      </c>
    </row>
    <row r="3" spans="1:12" x14ac:dyDescent="0.25">
      <c r="A3" s="61" t="s">
        <v>79</v>
      </c>
      <c r="B3" s="61"/>
      <c r="C3" s="61" t="e">
        <f>#REF!</f>
        <v>#REF!</v>
      </c>
    </row>
    <row r="4" spans="1:12" x14ac:dyDescent="0.25">
      <c r="A4" s="61" t="s">
        <v>73</v>
      </c>
      <c r="B4" s="61"/>
      <c r="C4" s="61" t="e">
        <f>VLOOKUP(C3,'Futures Specs'!$K$1:$M$100,3,0)</f>
        <v>#REF!</v>
      </c>
    </row>
    <row r="5" spans="1:12" x14ac:dyDescent="0.25">
      <c r="A5" s="61" t="s">
        <v>65</v>
      </c>
      <c r="B5" s="61"/>
      <c r="C5" s="61">
        <v>1</v>
      </c>
    </row>
    <row r="6" spans="1:12" ht="45" x14ac:dyDescent="0.25">
      <c r="A6" s="74" t="s">
        <v>80</v>
      </c>
      <c r="B6" s="74" t="s">
        <v>31</v>
      </c>
      <c r="C6" s="74" t="s">
        <v>25</v>
      </c>
      <c r="D6" s="74" t="s">
        <v>32</v>
      </c>
      <c r="E6" s="74" t="s">
        <v>81</v>
      </c>
      <c r="F6" s="74" t="s">
        <v>50</v>
      </c>
      <c r="G6" s="74" t="s">
        <v>51</v>
      </c>
      <c r="H6" s="74" t="s">
        <v>52</v>
      </c>
      <c r="I6" s="74" t="s">
        <v>74</v>
      </c>
      <c r="J6" s="74" t="s">
        <v>82</v>
      </c>
      <c r="K6" s="74" t="s">
        <v>83</v>
      </c>
      <c r="L6" s="74" t="s">
        <v>84</v>
      </c>
    </row>
    <row r="7" spans="1:12" x14ac:dyDescent="0.25">
      <c r="A7" s="69" t="str">
        <f>(IFERROR(INDEX('Futures Specs'!$K$1:$Q$18,MATCH(C3,'Futures Specs'!$K$1:$K$15,0)+2,2),""))</f>
        <v/>
      </c>
      <c r="B7" s="69" t="str">
        <f>(IFERROR(INDEX('Futures Specs'!$K$1:$Q$18,MATCH(C3,'Futures Specs'!$K$1:$K$15,0)+2,1),""))</f>
        <v/>
      </c>
      <c r="C7" s="70" t="e">
        <f>VLOOKUP(A7,'Futures Specs'!$L$3:$Q$5,2,0)</f>
        <v>#N/A</v>
      </c>
      <c r="D7" s="69" t="e">
        <f>VLOOKUP(A7,'Futures Specs'!$L$3:$Q$5,3,0)</f>
        <v>#N/A</v>
      </c>
      <c r="E7" s="75" t="e">
        <f>#REF!</f>
        <v>#REF!</v>
      </c>
      <c r="F7" s="71" t="e">
        <f>YIELD($C$1,C7,D7%,E7,100,4)*100</f>
        <v>#REF!</v>
      </c>
      <c r="G7" s="72" t="e">
        <f>MDURATION($C$1,C7,D7%,F7%,2,4)</f>
        <v>#REF!</v>
      </c>
      <c r="H7" s="73" t="e">
        <f>PRICE($C$2,C7,D7%,$C$4%,100,2,4)/100</f>
        <v>#REF!</v>
      </c>
      <c r="I7" s="69" t="e">
        <f>VLOOKUP(A7,'Futures Specs'!$L$3:$Q$5,4,0)</f>
        <v>#N/A</v>
      </c>
      <c r="J7" s="71" t="e">
        <f>PRICE($C$2,C7,D7%,(F7+$C$5)%,100,2,4)</f>
        <v>#REF!</v>
      </c>
      <c r="K7" s="71" t="e">
        <f>PRICE($C$2,C7,D7%,(F7-$C$5)%,100,2,4)</f>
        <v>#REF!</v>
      </c>
      <c r="L7" s="69" t="e">
        <f>1/H7</f>
        <v>#REF!</v>
      </c>
    </row>
    <row r="8" spans="1:12" x14ac:dyDescent="0.25">
      <c r="A8" s="69" t="str">
        <f>(IFERROR(INDEX('Futures Specs'!$K$1:$Q$18,MATCH(C3,'Futures Specs'!$K$1:$K$15,0)+3,2),""))</f>
        <v/>
      </c>
      <c r="B8" s="69" t="str">
        <f>(IFERROR(INDEX('Futures Specs'!$K$1:$Q$18,MATCH(C3,'Futures Specs'!$K$1:$K$15,0)+3,1),""))</f>
        <v/>
      </c>
      <c r="C8" s="70" t="e">
        <f>VLOOKUP(A8,'Futures Specs'!$L$3:$Q$5,2,0)</f>
        <v>#N/A</v>
      </c>
      <c r="D8" s="69" t="e">
        <f>VLOOKUP(A8,'Futures Specs'!$L$3:$Q$5,3,0)</f>
        <v>#N/A</v>
      </c>
      <c r="E8" s="75" t="e">
        <f>#REF!</f>
        <v>#REF!</v>
      </c>
      <c r="F8" s="71" t="e">
        <f>YIELD($C$1,C8,D8%,E8,100,4)*100</f>
        <v>#REF!</v>
      </c>
      <c r="G8" s="72" t="e">
        <f>MDURATION($C$1,C8,D8%,F8%,2,4)</f>
        <v>#REF!</v>
      </c>
      <c r="H8" s="73" t="e">
        <f>PRICE($C$2,C8,D8%,$C$4%,100,2,4)/100</f>
        <v>#REF!</v>
      </c>
      <c r="I8" s="69" t="e">
        <f>VLOOKUP(A8,'Futures Specs'!$L$3:$Q$5,4,0)</f>
        <v>#N/A</v>
      </c>
      <c r="J8" s="71" t="e">
        <f>PRICE($C$2,C8,D8%,(F8+$C$5)%,100,2,4)</f>
        <v>#REF!</v>
      </c>
      <c r="K8" s="71" t="e">
        <f>PRICE($C$2,C8,D8%,(F8-$C$5)%,100,2,4)</f>
        <v>#REF!</v>
      </c>
      <c r="L8" s="69" t="e">
        <f t="shared" ref="L8:L9" si="0">1/H8</f>
        <v>#REF!</v>
      </c>
    </row>
    <row r="9" spans="1:12" x14ac:dyDescent="0.25">
      <c r="A9" s="69" t="str">
        <f>(IFERROR(INDEX('Futures Specs'!$K$1:$Q$18,MATCH(C3,'Futures Specs'!$K$1:$K$15,0)+4,2),""))</f>
        <v/>
      </c>
      <c r="B9" s="69" t="str">
        <f>(IFERROR(INDEX('Futures Specs'!$K$1:$Q$18,MATCH(C3,'Futures Specs'!$K$1:$K$15,0)+4,1),""))</f>
        <v/>
      </c>
      <c r="C9" s="70" t="e">
        <f>VLOOKUP(A9,'Futures Specs'!$L$3:$Q$5,2,0)</f>
        <v>#N/A</v>
      </c>
      <c r="D9" s="69" t="e">
        <f>VLOOKUP(A9,'Futures Specs'!$L$3:$Q$5,3,0)</f>
        <v>#N/A</v>
      </c>
      <c r="E9" s="75" t="e">
        <f>#REF!</f>
        <v>#REF!</v>
      </c>
      <c r="F9" s="71" t="e">
        <f>YIELD($C$1,C9,D9%,E9,100,4)*100</f>
        <v>#REF!</v>
      </c>
      <c r="G9" s="72" t="e">
        <f>MDURATION($C$1,C9,D9%,F9%,2,4)</f>
        <v>#REF!</v>
      </c>
      <c r="H9" s="73" t="e">
        <f>PRICE($C$2,C9,D9%,$C$4%,100,2,4)/100</f>
        <v>#REF!</v>
      </c>
      <c r="I9" s="69" t="e">
        <f>VLOOKUP(A9,'Futures Specs'!$L$3:$Q$5,4,0)</f>
        <v>#N/A</v>
      </c>
      <c r="J9" s="71" t="e">
        <f>PRICE($C$2,C9,D9%,(F9+$C$5)%,100,2,4)</f>
        <v>#REF!</v>
      </c>
      <c r="K9" s="71" t="e">
        <f>PRICE($C$2,C9,D9%,(F9-$C$5)%,100,2,4)</f>
        <v>#REF!</v>
      </c>
      <c r="L9" s="69" t="e">
        <f t="shared" si="0"/>
        <v>#REF!</v>
      </c>
    </row>
    <row r="10" spans="1:12" x14ac:dyDescent="0.25">
      <c r="D10" s="62"/>
    </row>
    <row r="11" spans="1:12" x14ac:dyDescent="0.25">
      <c r="D11" s="62"/>
    </row>
    <row r="12" spans="1:12" x14ac:dyDescent="0.25">
      <c r="D12" s="62"/>
    </row>
    <row r="14" spans="1:12" x14ac:dyDescent="0.25">
      <c r="A14" s="45" t="s">
        <v>78</v>
      </c>
      <c r="E14" s="45" t="s">
        <v>77</v>
      </c>
    </row>
    <row r="15" spans="1:12" x14ac:dyDescent="0.25">
      <c r="A15" s="42" t="s">
        <v>85</v>
      </c>
      <c r="B15" s="42"/>
      <c r="C15" s="76" t="e">
        <f>SUMPRODUCT($G$7:$G$9,$I$7:$I$9)</f>
        <v>#REF!</v>
      </c>
      <c r="E15" s="46" t="s">
        <v>86</v>
      </c>
      <c r="F15" s="46"/>
      <c r="G15" s="77" t="str">
        <f ca="1">IFERROR(SUMPRODUCT(OFFSET(#REF!,#REF!,0,-#REF!,1),OFFSET(#REF!,#REF!,0,-#REF!,1)),"")</f>
        <v/>
      </c>
      <c r="I15" s="63"/>
    </row>
    <row r="16" spans="1:12" x14ac:dyDescent="0.25">
      <c r="A16" s="42"/>
      <c r="B16" s="42"/>
      <c r="C16" s="43"/>
      <c r="E16" s="46"/>
      <c r="F16" s="46"/>
      <c r="G16" s="47"/>
    </row>
    <row r="17" spans="1:7" x14ac:dyDescent="0.25">
      <c r="A17" s="42" t="s">
        <v>53</v>
      </c>
      <c r="B17" s="42"/>
      <c r="C17" s="43" t="e">
        <f>#REF!</f>
        <v>#REF!</v>
      </c>
      <c r="E17" s="40" t="s">
        <v>44</v>
      </c>
      <c r="F17" s="41"/>
      <c r="G17" s="64" t="str">
        <f ca="1">IFERROR(SUMPRODUCT(OFFSET(#REF!,#REF!,0,-#REF!,1),OFFSET(#REF!,#REF!,0,-#REF!,1),OFFSET(#REF!,#REF!,0,-#REF!,1)),"")</f>
        <v/>
      </c>
    </row>
    <row r="18" spans="1:7" x14ac:dyDescent="0.25">
      <c r="A18" s="42"/>
      <c r="B18" s="42"/>
      <c r="C18" s="42"/>
      <c r="E18" s="46" t="s">
        <v>45</v>
      </c>
      <c r="F18" s="46"/>
      <c r="G18" s="47" t="e">
        <f>SUMPRODUCT(#REF!,#REF!)</f>
        <v>#REF!</v>
      </c>
    </row>
    <row r="19" spans="1:7" x14ac:dyDescent="0.25">
      <c r="A19" s="44" t="s">
        <v>54</v>
      </c>
      <c r="B19" s="42"/>
      <c r="C19" s="43" t="e">
        <f>SUMPRODUCT($I$7:$I$9,$K$7:$K$9,$L$7:$L$9)</f>
        <v>#N/A</v>
      </c>
      <c r="E19" s="46"/>
      <c r="F19" s="46"/>
      <c r="G19" s="48"/>
    </row>
    <row r="20" spans="1:7" x14ac:dyDescent="0.25">
      <c r="A20" s="42"/>
      <c r="B20" s="42"/>
      <c r="C20" s="42"/>
      <c r="E20" s="46" t="s">
        <v>46</v>
      </c>
      <c r="F20" s="46"/>
      <c r="G20" s="47" t="e">
        <f>SUMPRODUCT(#REF!,#REF!)</f>
        <v>#REF!</v>
      </c>
    </row>
    <row r="21" spans="1:7" x14ac:dyDescent="0.25">
      <c r="A21" s="44" t="s">
        <v>55</v>
      </c>
      <c r="B21" s="42"/>
      <c r="C21" s="43" t="e">
        <f>SUMPRODUCT($I$7:$I$9,$J$7:$J$9,$L$7:$L$9)</f>
        <v>#N/A</v>
      </c>
      <c r="E21" s="46"/>
      <c r="F21" s="46"/>
      <c r="G21" s="48"/>
    </row>
    <row r="22" spans="1:7" x14ac:dyDescent="0.25">
      <c r="A22" s="42"/>
      <c r="B22" s="42"/>
      <c r="C22" s="42"/>
      <c r="E22" s="46" t="s">
        <v>47</v>
      </c>
      <c r="F22" s="46"/>
      <c r="G22" s="49" t="str">
        <f ca="1">IFERROR(SUMPRODUCT(OFFSET(#REF!,#REF!,0,-#REF!,1),OFFSET(#REF!,#REF!,0,-#REF!,1)),"")</f>
        <v/>
      </c>
    </row>
    <row r="23" spans="1:7" x14ac:dyDescent="0.25">
      <c r="A23" s="42" t="s">
        <v>56</v>
      </c>
      <c r="B23" s="42"/>
      <c r="C23" s="43" t="e">
        <f ca="1">(G22*G15)/(C17*2000*C15)</f>
        <v>#VALUE!</v>
      </c>
      <c r="E23" s="46"/>
      <c r="F23" s="46"/>
      <c r="G23" s="48"/>
    </row>
    <row r="24" spans="1:7" x14ac:dyDescent="0.25">
      <c r="A24" s="42"/>
      <c r="B24" s="42"/>
      <c r="C24" s="42"/>
      <c r="E24" s="46" t="s">
        <v>48</v>
      </c>
      <c r="F24" s="46"/>
      <c r="G24" s="50" t="str">
        <f ca="1">IFERROR((G20-G22),"")</f>
        <v/>
      </c>
    </row>
    <row r="25" spans="1:7" x14ac:dyDescent="0.25">
      <c r="A25" s="42" t="s">
        <v>76</v>
      </c>
      <c r="B25" s="42"/>
      <c r="C25" s="43" t="e">
        <f ca="1">C23*C17*2000</f>
        <v>#VALUE!</v>
      </c>
      <c r="E25" s="46" t="s">
        <v>49</v>
      </c>
      <c r="F25" s="46"/>
      <c r="G25" s="50">
        <f ca="1">IFERROR(G18-G22,0)</f>
        <v>0</v>
      </c>
    </row>
    <row r="26" spans="1:7" x14ac:dyDescent="0.25">
      <c r="A26" s="42"/>
      <c r="B26" s="42"/>
      <c r="C26" s="42"/>
    </row>
    <row r="27" spans="1:7" x14ac:dyDescent="0.25">
      <c r="A27" s="42" t="s">
        <v>57</v>
      </c>
      <c r="B27" s="42"/>
      <c r="C27" s="43" t="e">
        <f ca="1">C23*C21*2000</f>
        <v>#VALUE!</v>
      </c>
    </row>
    <row r="28" spans="1:7" x14ac:dyDescent="0.25">
      <c r="A28" s="42"/>
      <c r="B28" s="42"/>
      <c r="C28" s="43"/>
      <c r="E28" t="s">
        <v>61</v>
      </c>
      <c r="G28" t="e">
        <f ca="1">-(C31/G24)*100</f>
        <v>#VALUE!</v>
      </c>
    </row>
    <row r="29" spans="1:7" x14ac:dyDescent="0.25">
      <c r="A29" s="42" t="s">
        <v>58</v>
      </c>
      <c r="B29" s="42"/>
      <c r="C29" s="43" t="e">
        <f ca="1">C23*C19*2000</f>
        <v>#VALUE!</v>
      </c>
    </row>
    <row r="30" spans="1:7" x14ac:dyDescent="0.25">
      <c r="A30" s="42"/>
      <c r="B30" s="42"/>
      <c r="C30" s="42"/>
      <c r="E30" t="s">
        <v>62</v>
      </c>
      <c r="G30" t="e">
        <f ca="1">-(C32/G25)*100</f>
        <v>#VALUE!</v>
      </c>
    </row>
    <row r="31" spans="1:7" x14ac:dyDescent="0.25">
      <c r="A31" s="43" t="s">
        <v>59</v>
      </c>
      <c r="B31" s="42"/>
      <c r="C31" s="43" t="e">
        <f ca="1">C25-C27</f>
        <v>#VALUE!</v>
      </c>
    </row>
    <row r="32" spans="1:7" x14ac:dyDescent="0.25">
      <c r="A32" s="43" t="s">
        <v>60</v>
      </c>
      <c r="B32" s="42"/>
      <c r="C32" s="43" t="e">
        <f ca="1">C25-C29</f>
        <v>#VALUE!</v>
      </c>
    </row>
  </sheetData>
  <pageMargins left="0.7" right="0.7" top="0.75" bottom="0.75" header="0.3" footer="0.3"/>
  <pageSetup orientation="portrait" r:id="rId1"/>
  <ignoredErrors>
    <ignoredError sqref="G15 G17:G25 C15:C17 C24:C32 C18:C2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D16F8E1A0E6040B184E9E7936D97F2" ma:contentTypeVersion="1" ma:contentTypeDescription="Create a new document." ma:contentTypeScope="" ma:versionID="9e26dce6f96edff171c32f407b603c6e">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F3BCAF-5AC3-45F1-B4E6-190B74BBC379}">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622EDC5-03A8-4466-9CA0-888A2C48941B}">
  <ds:schemaRefs>
    <ds:schemaRef ds:uri="http://schemas.microsoft.com/sharepoint/v3/contenttype/forms"/>
  </ds:schemaRefs>
</ds:datastoreItem>
</file>

<file path=customXml/itemProps3.xml><?xml version="1.0" encoding="utf-8"?>
<ds:datastoreItem xmlns:ds="http://schemas.openxmlformats.org/officeDocument/2006/customXml" ds:itemID="{24BCD4E9-3177-4594-92F9-265B1D18BD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Help</vt:lpstr>
      <vt:lpstr>Pricing-Simple</vt:lpstr>
      <vt:lpstr>Pricing-Continuous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Theoretical Futures Price Calculator </dc:title>
  <dc:creator>Ch Cherukuri/MCX-SX/Market Operations</dc:creator>
  <cp:lastModifiedBy>Ch Cherukuri/MCX-SX/Market Operations</cp:lastModifiedBy>
  <cp:lastPrinted>2015-02-06T05:32:14Z</cp:lastPrinted>
  <dcterms:created xsi:type="dcterms:W3CDTF">2013-12-16T06:49:15Z</dcterms:created>
  <dcterms:modified xsi:type="dcterms:W3CDTF">2015-04-22T03:50:10Z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0x0101003FD16F8E1A0E6040B184E9E7936D97F2</vt:lpwstr>
  </property>
</Properties>
</file>